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howInkAnnotation="0" codeName="ThisWorkbook"/>
  <mc:AlternateContent xmlns:mc="http://schemas.openxmlformats.org/markup-compatibility/2006">
    <mc:Choice Requires="x15">
      <x15ac:absPath xmlns:x15ac="http://schemas.microsoft.com/office/spreadsheetml/2010/11/ac" url="C:\Users\medinaa\Downloads\"/>
    </mc:Choice>
  </mc:AlternateContent>
  <xr:revisionPtr revIDLastSave="0" documentId="8_{392E8B26-7A96-41C8-9938-C241D4785940}" xr6:coauthVersionLast="45" xr6:coauthVersionMax="45" xr10:uidLastSave="{00000000-0000-0000-0000-000000000000}"/>
  <bookViews>
    <workbookView xWindow="1245" yWindow="2040" windowWidth="30675" windowHeight="15855" tabRatio="584" firstSheet="5" activeTab="9"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5" l="1"/>
  <c r="E15" i="3"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<sst xmlns="http://schemas.openxmlformats.org/spreadsheetml/2006/main" count="1490" uniqueCount="821">
  <si>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</si>
  <si>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</si>
  <si>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</si>
  <si>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</si>
  <si>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</si>
  <si>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</si>
  <si>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</si>
  <si>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</si>
  <si>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</si>
  <si>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</si>
  <si>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</si>
  <si>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</si>
  <si>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</si>
  <si>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</si>
  <si>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</si>
  <si>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</si>
  <si>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</si>
  <si>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</si>
  <si>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</si>
  <si>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</si>
  <si>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</si>
  <si>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</si>
  <si>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</si>
  <si>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</si>
  <si>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</si>
  <si>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</si>
  <si>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</si>
  <si>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</si>
  <si>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</si>
  <si>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</si>
  <si>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</si>
  <si>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</si>
  <si>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</si>
  <si>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</si>
  <si>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</si>
  <si>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</si>
  <si>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</si>
  <si>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</si>
  <si>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</si>
  <si>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</si>
  <si>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</si>
  <si>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</si>
  <si>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</si>
  <si>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</si>
  <si>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</si>
  <si>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</si>
  <si>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</si>
  <si>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</si>
  <si>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</si>
  <si>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</si>
  <si>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</si>
  <si>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</si>
  <si>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</si>
  <si>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</si>
  <si>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</si>
  <si>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</si>
  <si>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</si>
  <si>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</si>
  <si>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</si>
  <si>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</si>
  <si>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</si>
  <si>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</si>
  <si>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</si>
  <si>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</si>
  <si>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</si>
  <si>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</si>
  <si>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</si>
  <si>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</si>
  <si>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</si>
  <si>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</si>
  <si>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</si>
  <si>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</si>
  <si>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</si>
  <si>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</si>
  <si>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</si>
  <si>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</si>
  <si>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</si>
  <si>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</si>
  <si>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</si>
  <si>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</si>
  <si>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</si>
  <si>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</si>
  <si>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</si>
  <si>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</si>
  <si>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</si>
  <si>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</si>
  <si>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</si>
  <si>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</si>
  <si>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</si>
  <si>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</si>
  <si>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</si>
  <si>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</si>
  <si>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</si>
  <si>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</si>
  <si>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</si>
  <si>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</si>
  <si>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</si>
  <si>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</si>
  <si>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</si>
  <si>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</si>
  <si>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</si>
  <si>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</si>
  <si>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</si>
  <si>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</si>
  <si>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</si>
  <si>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</si>
  <si>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</si>
  <si>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</si>
  <si>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</si>
  <si>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</si>
  <si>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</si>
  <si>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</si>
  <si>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</si>
  <si>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</si>
  <si>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</si>
  <si>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</si>
  <si>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</si>
  <si>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</si>
  <si>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</si>
  <si>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</si>
  <si>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</si>
  <si>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</si>
  <si>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</si>
  <si>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</si>
  <si>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</si>
  <si>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</si>
  <si>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</si>
  <si>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</si>
  <si>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</si>
  <si>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</si>
  <si>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</si>
  <si>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</si>
  <si>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</si>
  <si>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</si>
  <si>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</si>
  <si>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</si>
  <si>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</si>
  <si>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</si>
  <si>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</si>
  <si>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</si>
  <si>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</si>
  <si>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</si>
  <si>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</si>
  <si>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</si>
  <si>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</si>
  <si>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</si>
  <si>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</si>
  <si>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</si>
  <si>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</si>
  <si>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</si>
  <si>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</si>
  <si>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</si>
  <si>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</si>
  <si>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</si>
  <si>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</si>
  <si>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</si>
  <si>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</si>
  <si>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</si>
  <si>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</si>
  <si>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</si>
  <si>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</si>
  <si>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</si>
  <si>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</si>
  <si>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</si>
  <si>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</si>
  <si>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</si>
  <si>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</si>
  <si>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</si>
  <si>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</si>
  <si>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</si>
  <si>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</si>
  <si>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</si>
  <si>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</si>
  <si>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</si>
  <si>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</si>
  <si>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</si>
  <si>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</si>
  <si>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</si>
  <si>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</si>
  <si>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</si>
  <si>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</si>
  <si>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</si>
  <si>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</si>
  <si>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</si>
  <si>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</si>
  <si>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</si>
  <si>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</si>
  <si>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</si>
  <si>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</si>
  <si>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</si>
  <si>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</si>
  <si>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</si>
  <si>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</si>
  <si>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</si>
  <si>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</si>
  <si>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</si>
  <si>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</si>
  <si>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</si>
  <si>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</si>
  <si>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</si>
  <si>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</si>
  <si>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</si>
  <si>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</si>
  <si>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</si>
  <si>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</si>
  <si>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</si>
  <si>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</si>
  <si>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</si>
  <si>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</si>
  <si>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</si>
  <si>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</si>
  <si>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</si>
  <si>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</si>
  <si>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</si>
  <si>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</si>
  <si>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</si>
  <si>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</si>
  <si>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</si>
  <si>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</si>
  <si>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</si>
  <si>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</si>
  <si>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</si>
  <si>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</si>
  <si>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</si>
  <si>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</si>
  <si>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</si>
  <si>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</si>
  <si>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</si>
  <si>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</si>
  <si>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</si>
  <si>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</si>
  <si>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</si>
  <si>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</si>
  <si>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</si>
  <si>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</si>
  <si>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</si>
  <si>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</si>
  <si>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</si>
  <si>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</si>
  <si>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</si>
  <si>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</si>
  <si>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</si>
  <si>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</si>
  <si>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</si>
  <si>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</si>
  <si>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</si>
  <si>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</si>
  <si>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</si>
  <si>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</si>
  <si>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</si>
  <si>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</si>
  <si>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</si>
  <si>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</si>
  <si>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</si>
  <si>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</si>
  <si>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</si>
  <si>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</si>
  <si>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</si>
  <si>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</si>
  <si>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</si>
  <si>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</si>
  <si>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</si>
  <si>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</si>
  <si>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</si>
  <si>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</si>
  <si>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</si>
  <si>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</si>
  <si>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</si>
  <si>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</si>
  <si>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</si>
  <si>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</si>
  <si>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</si>
  <si>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</si>
  <si>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</si>
  <si>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</si>
  <si>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</si>
  <si>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</si>
  <si>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</si>
  <si>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</si>
  <si>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</si>
  <si>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</si>
  <si>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</si>
  <si>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</si>
  <si>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</si>
  <si>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</si>
  <si>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</si>
  <si>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</si>
  <si>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</si>
  <si>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</si>
  <si>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</si>
  <si>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</si>
  <si>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</si>
  <si>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</si>
  <si>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</si>
  <si>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</si>
  <si>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</si>
  <si>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</si>
  <si>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</si>
  <si>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</si>
  <si>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</si>
  <si>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</si>
  <si>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</si>
  <si>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</si>
  <si>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</si>
  <si>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</si>
  <si>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</si>
  <si>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</si>
  <si>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</si>
  <si>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</si>
  <si>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</si>
  <si>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</si>
  <si>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</si>
  <si>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</si>
  <si>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</si>
  <si>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</si>
  <si>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</si>
  <si>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</si>
  <si>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</si>
  <si>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</si>
  <si>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</si>
  <si>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</si>
  <si>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</si>
  <si>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</si>
  <si>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</si>
  <si>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</si>
  <si>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</si>
  <si>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</si>
  <si>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</si>
  <si>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</si>
  <si>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</si>
  <si>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</si>
  <si>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</si>
  <si>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</si>
  <si>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</si>
  <si>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</si>
  <si>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</si>
  <si>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</si>
  <si>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</si>
  <si>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</si>
  <si>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</si>
  <si>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</si>
  <si>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</si>
  <si>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</si>
  <si>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</si>
  <si>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</si>
  <si>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</si>
  <si>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</si>
  <si>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</si>
  <si>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</si>
  <si>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</si>
  <si>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</si>
  <si>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</si>
  <si>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</si>
  <si>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</si>
  <si>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</si>
  <si>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</si>
  <si>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</si>
  <si>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</si>
  <si>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</si>
  <si>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</si>
  <si>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</si>
  <si>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</si>
  <si>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</si>
  <si>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</si>
  <si>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</si>
  <si>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</si>
  <si>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</si>
  <si>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</si>
  <si>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</si>
  <si>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</si>
  <si>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</si>
  <si>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</si>
  <si>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</si>
  <si>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</si>
  <si>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</si>
  <si>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</si>
  <si>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</si>
  <si>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</si>
  <si>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</si>
  <si>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</si>
  <si>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</si>
  <si>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</si>
  <si>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</si>
  <si>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</si>
  <si>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</si>
  <si>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</si>
  <si>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</si>
  <si>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</si>
  <si>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</si>
  <si>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</si>
  <si>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</si>
  <si>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</si>
  <si>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</si>
  <si>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</si>
  <si>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</si>
  <si>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</si>
  <si>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</si>
  <si>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</si>
  <si>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</si>
  <si>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</si>
  <si>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</si>
  <si>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</si>
  <si>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</si>
  <si>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</si>
  <si>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</si>
  <si>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</si>
  <si>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</si>
  <si>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</si>
  <si>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</si>
  <si>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</si>
  <si>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</si>
  <si>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</si>
  <si>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</si>
  <si>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</si>
  <si>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</si>
  <si>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</si>
  <si>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</si>
  <si>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</si>
  <si>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</si>
  <si>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</si>
  <si>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</si>
  <si>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</si>
  <si>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</si>
  <si>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</si>
  <si>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</si>
  <si>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</si>
  <si>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</si>
  <si>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</si>
  <si>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</si>
  <si>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</si>
  <si>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</si>
  <si>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</si>
  <si>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</si>
  <si>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</si>
  <si>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</si>
  <si>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</si>
  <si>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</si>
  <si>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</si>
  <si>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</si>
  <si>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</si>
  <si>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</si>
  <si>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</si>
  <si>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</si>
  <si>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</si>
  <si>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</si>
  <si>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</si>
  <si>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</si>
  <si>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</si>
  <si>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</si>
  <si>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</si>
  <si>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</si>
  <si>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</si>
  <si>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</si>
  <si>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</si>
  <si>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</si>
  <si>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</si>
  <si>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</si>
  <si>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</si>
  <si>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</si>
  <si>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</si>
  <si>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</si>
  <si>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</si>
  <si>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</si>
  <si>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</si>
  <si>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</si>
  <si>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</si>
  <si>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</si>
  <si>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</si>
  <si>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</si>
  <si>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</si>
  <si>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</si>
  <si>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</si>
  <si>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</si>
  <si>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</si>
  <si>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</si>
  <si>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</si>
  <si>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</si>
  <si>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</si>
  <si>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</si>
  <si>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</si>
  <si>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</si>
  <si>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</si>
  <si>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</si>
  <si>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</si>
  <si>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</si>
  <si>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</si>
  <si>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</si>
  <si>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</si>
  <si>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</si>
  <si>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</si>
  <si>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</si>
  <si>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</si>
  <si>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</si>
  <si>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</si>
  <si>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</si>
  <si>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</si>
  <si>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</si>
  <si>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</si>
  <si>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</si>
  <si>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</si>
  <si>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</si>
  <si>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</si>
  <si>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</si>
  <si>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</si>
  <si>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</si>
  <si>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</si>
  <si>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</si>
  <si>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</si>
  <si>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</si>
  <si>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</si>
  <si>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</si>
  <si>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</si>
  <si>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</si>
  <si>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</si>
  <si>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</si>
  <si>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</si>
  <si>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</si>
  <si>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</si>
  <si>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</si>
  <si>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</si>
  <si>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</si>
  <si>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</si>
  <si>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</si>
  <si>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</si>
  <si>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</si>
  <si>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</si>
  <si>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</si>
  <si>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</si>
  <si>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</si>
  <si>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</si>
  <si>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</si>
  <si>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</si>
  <si>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</si>
  <si>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</si>
  <si>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</si>
  <si>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</si>
  <si>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</si>
  <si>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</si>
  <si>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</si>
  <si>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</si>
  <si>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</si>
  <si>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</si>
  <si>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</si>
  <si>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</si>
  <si>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</si>
  <si>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</si>
  <si>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</si>
  <si>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</si>
  <si>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</si>
  <si>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</si>
  <si>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</si>
  <si>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</si>
  <si>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</si>
  <si>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</si>
  <si>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</si>
  <si>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</si>
  <si>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</si>
  <si>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</si>
  <si>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</si>
  <si>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</si>
  <si>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</si>
  <si>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</si>
  <si>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</si>
  <si>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</si>
  <si>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</si>
  <si>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</si>
  <si>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</si>
  <si>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</si>
  <si>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</si>
  <si>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</si>
  <si>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</si>
  <si>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</si>
  <si>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</si>
  <si>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</si>
  <si>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</si>
  <si>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</si>
  <si>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</si>
  <si>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</si>
  <si>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</si>
  <si>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</si>
  <si>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</si>
  <si>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</si>
  <si>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</si>
  <si>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</si>
  <si>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</si>
  <si>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</si>
  <si>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</si>
  <si>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</si>
  <si>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</si>
  <si>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</si>
  <si>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</si>
  <si>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</si>
  <si>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</si>
  <si>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</si>
  <si>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</si>
  <si>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</si>
  <si>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</si>
  <si>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</si>
  <si>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</si>
  <si>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</si>
  <si>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</si>
  <si>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</si>
  <si>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</si>
  <si>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</si>
  <si>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</si>
  <si>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</si>
  <si>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</si>
  <si>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</si>
  <si>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</si>
  <si>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</si>
  <si>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</si>
  <si>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</si>
  <si>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</si>
  <si>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</si>
  <si>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</si>
  <si>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</si>
  <si>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</si>
  <si>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</si>
  <si>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</si>
  <si>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</si>
  <si>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</si>
  <si>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</si>
  <si>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</si>
  <si>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</si>
  <si>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</si>
  <si>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</si>
  <si>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</si>
  <si>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</si>
  <si>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</si>
  <si>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</si>
  <si>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</si>
  <si>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</si>
  <si>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</si>
  <si>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</si>
  <si>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</si>
  <si>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</si>
  <si>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</si>
  <si>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</si>
  <si>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</si>
  <si>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</si>
  <si>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</si>
  <si>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</si>
  <si>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</si>
  <si>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</si>
  <si>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</si>
  <si>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</si>
  <si>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</si>
  <si>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</si>
  <si>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</si>
  <si>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</si>
  <si>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</si>
  <si>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</si>
  <si>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</si>
  <si>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</si>
  <si>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</si>
  <si>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</si>
  <si>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</si>
  <si>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</si>
  <si>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</si>
  <si>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</si>
  <si>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</si>
  <si>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</si>
  <si>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</si>
  <si>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</si>
  <si>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</si>
  <si>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</si>
  <si>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</si>
  <si>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</si>
  <si>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</si>
  <si>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</si>
  <si>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</si>
  <si>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</si>
  <si>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</si>
  <si>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</si>
  <si>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</si>
  <si>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</si>
  <si>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</si>
  <si>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</si>
  <si>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</si>
  <si>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</si>
  <si>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</si>
  <si>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</si>
  <si>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</si>
  <si>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</si>
  <si>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</si>
  <si>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</si>
  <si>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</si>
  <si>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</si>
  <si>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</si>
  <si>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</si>
  <si>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</si>
  <si>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</si>
  <si>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</si>
  <si>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</si>
  <si>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</si>
  <si>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</si>
  <si>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</si>
  <si>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</si>
  <si>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</si>
  <si>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</si>
  <si>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</si>
  <si>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</si>
  <si>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</si>
  <si>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</si>
  <si>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</si>
  <si>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</si>
  <si>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</si>
  <si>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</si>
  <si>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</si>
  <si>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</si>
  <si>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</si>
  <si>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</si>
  <si>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</si>
  <si>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</si>
  <si>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</si>
  <si>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</si>
  <si>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</si>
  <si>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</si>
  <si>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</si>
  <si>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</si>
  <si>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</si>
  <si>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</si>
  <si>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</si>
  <si>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</si>
  <si>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</si>
  <si>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</si>
  <si>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</si>
  <si>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</si>
  <si>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</si>
  <si>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</si>
  <si>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</si>
  <si>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</si>
  <si>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</si>
  <si>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</si>
  <si>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</si>
  <si>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</si>
  <si>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</si>
  <si>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</si>
  <si>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</si>
  <si>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</si>
  <si>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</si>
  <si>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</si>
  <si>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</si>
  <si>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</si>
  <si>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</si>
  <si>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</si>
  <si>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</si>
  <si>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</si>
  <si>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</si>
  <si>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</si>
  <si>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</si>
  <si>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</si>
  <si>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</si>
  <si>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</si>
  <si>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</si>
  <si>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</si>
  <si>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</si>
  <si>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</si>
  <si>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</si>
  <si>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</si>
  <si>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</si>
  <si>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</si>
  <si>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</si>
  <si>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</si>
  <si>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</si>
  <si>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</si>
  <si>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</si>
  <si>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</si>
  <si>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</si>
  <si>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</si>
  <si>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</si>
  <si>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</si>
  <si>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</si>
  <si>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</si>
  <si>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</si>
  <si>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</si>
  <si>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</si>
  <si>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</si>
  <si>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</si>
  <si>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</si>
  <si>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</si>
  <si>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</si>
  <si>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2019-2020</t>
  </si>
  <si>
    <t xml:space="preserve">1270 Natividad Rd </t>
  </si>
  <si>
    <t xml:space="preserve">Salinas </t>
  </si>
  <si>
    <t xml:space="preserve">Elba Y Gonzalez </t>
  </si>
  <si>
    <t>Accountant III</t>
  </si>
  <si>
    <t>gonzalezey@co.monterey.ca.us</t>
  </si>
  <si>
    <t>(831) 755-4558</t>
  </si>
  <si>
    <t>Expenditure</t>
  </si>
  <si>
    <t>FY 2018-19</t>
  </si>
  <si>
    <t xml:space="preserve">HVAC Marina </t>
  </si>
  <si>
    <t>Micro-Innovation Projects to increase Latino Engagement</t>
  </si>
  <si>
    <t xml:space="preserve">Transpostation Coaching by Wellness Navigator </t>
  </si>
  <si>
    <t xml:space="preserve">Open Access Wellness Centers </t>
  </si>
  <si>
    <t xml:space="preserve">Family Support &amp; Education </t>
  </si>
  <si>
    <t>Outreach/incresed Awareness</t>
  </si>
  <si>
    <t xml:space="preserve">Stigma &amp; Discrimination Reduction </t>
  </si>
  <si>
    <t>Prevention Services/Older Adults</t>
  </si>
  <si>
    <t xml:space="preserve">Suice Prevention </t>
  </si>
  <si>
    <t xml:space="preserve">Access Regional Services </t>
  </si>
  <si>
    <t>Student Mental Health</t>
  </si>
  <si>
    <t xml:space="preserve">Juvenile Justice Diversion </t>
  </si>
  <si>
    <t xml:space="preserve">Early Psychosis </t>
  </si>
  <si>
    <t>Rensposive Crisis Interventions</t>
  </si>
  <si>
    <t>Family Stability</t>
  </si>
  <si>
    <t>Dual Diagnosis-Children</t>
  </si>
  <si>
    <t xml:space="preserve">Juvenile Justice </t>
  </si>
  <si>
    <t>Transintion Age Youth</t>
  </si>
  <si>
    <t>Adults with Serious Mental Health Illness</t>
  </si>
  <si>
    <t xml:space="preserve">Older Adults </t>
  </si>
  <si>
    <t xml:space="preserve">CSS Regional Services </t>
  </si>
  <si>
    <t>Early Childhood Mental Health</t>
  </si>
  <si>
    <t xml:space="preserve">Supported Services to Adults with Serious Mental Illness </t>
  </si>
  <si>
    <t xml:space="preserve">Dual Diagnosis-Adults </t>
  </si>
  <si>
    <t>FY 15-16</t>
  </si>
  <si>
    <t>FY 08-09</t>
  </si>
  <si>
    <t xml:space="preserve">$834,837.63 - Funds were returned to DHCS on 04/13/2020 - reversion of funds from INN component. </t>
  </si>
  <si>
    <t xml:space="preserve">$13,207.00 - Funds were returned to DHCS on 04/13/2020 - reversion of funds from CFTN component. </t>
  </si>
  <si>
    <t xml:space="preserve">Revising total amount of CSS expenditures on the FY 18-19 RER.  A total of  $1,087,851.67 expenditures were not reported but should have been under CSS; increasing the total from $12,458,466.59 to $13,546,318.26. </t>
  </si>
  <si>
    <t>Tech Suite Collaborative - Screening to Timely Assessment - CALMHSA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</si>
</sst>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64" fontId="1" fillId="0" borderId="19" xfId="0" applyNumberFormat="1" applyFont="1" applyFill="1" applyBorder="1" applyProtection="1">
      <protection locked="0"/>
    </xf>
    <xf numFmtId="16" fontId="1" fillId="0" borderId="21" xfId="0" applyNumberFormat="1" applyFont="1" applyBorder="1" applyAlignment="1" applyProtection="1">
      <alignment horizontal="center" wrapText="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32"/>
  <sheetViews>
    <sheetView showGridLines="0" tabSelected="1" topLeftCell="A20" zoomScale="80" zoomScaleNormal="80" zoomScaleSheetLayoutView="40" workbookViewId="0">
      <selection activeCell="G34" sqref="G34"/>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2019-2020</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Monterey</v>
      </c>
      <c r="G9" s="226" t="s">
        <v>1</v>
      </c>
      <c r="H9" s="264">
        <f>IF(ISBLANK('1. Information'!D9),"",'1. Information'!D9)</f>
        <v>44201</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c r="H15" s="136"/>
      <c r="I15" s="136"/>
      <c r="J15" s="136"/>
      <c r="K15" s="246">
        <f>SUM(F15:J15)</f>
        <v>0</v>
      </c>
      <c r="L15" s="175"/>
      <c r="M15" s="175"/>
      <c r="N15" s="175"/>
      <c r="O15" s="27"/>
      <c r="P15" s="27"/>
    </row>
    <row r="16" spans="1:17" ht="15.75" x14ac:dyDescent="0.25">
      <c r="B16" s="300">
        <v>2</v>
      </c>
      <c r="C16" s="308" t="s">
        <v>143</v>
      </c>
      <c r="D16" s="242"/>
      <c r="E16" s="243"/>
      <c r="F16" s="136">
        <v>75182.509999999995</v>
      </c>
      <c r="G16" s="136"/>
      <c r="H16" s="136"/>
      <c r="I16" s="136"/>
      <c r="J16" s="136"/>
      <c r="K16" s="246">
        <f>SUM(F16:J16)</f>
        <v>75182.509999999995</v>
      </c>
      <c r="L16" s="175"/>
      <c r="M16" s="175"/>
      <c r="N16" s="175"/>
      <c r="O16" s="27"/>
      <c r="P16" s="27"/>
    </row>
    <row r="17" spans="2:17" ht="15.75" x14ac:dyDescent="0.25">
      <c r="B17" s="300">
        <v>3</v>
      </c>
      <c r="C17" s="309" t="s">
        <v>238</v>
      </c>
      <c r="D17" s="245"/>
      <c r="E17" s="243"/>
      <c r="F17" s="136">
        <v>757357</v>
      </c>
      <c r="G17" s="310"/>
      <c r="H17" s="310"/>
      <c r="I17" s="310"/>
      <c r="J17" s="310"/>
      <c r="K17" s="246">
        <f>F17</f>
        <v>757357</v>
      </c>
      <c r="L17" s="175"/>
      <c r="M17" s="175"/>
      <c r="N17" s="175"/>
      <c r="O17" s="27"/>
      <c r="P17" s="27"/>
    </row>
    <row r="18" spans="2:17" ht="15.75" x14ac:dyDescent="0.25">
      <c r="B18" s="300">
        <v>4</v>
      </c>
      <c r="C18" s="309" t="s">
        <v>293</v>
      </c>
      <c r="D18" s="245"/>
      <c r="E18" s="243"/>
      <c r="F18" s="136">
        <v>187180</v>
      </c>
      <c r="G18" s="310"/>
      <c r="H18" s="310"/>
      <c r="I18" s="310"/>
      <c r="J18" s="310"/>
      <c r="K18" s="246">
        <f>F18</f>
        <v>187180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501216.70999999996</v>
      </c>
      <c r="G21" s="313">
        <f>SUMIF($K$29:$K$128,"Project Direct",M$29:M$128)</f>
        <v>0</v>
      </c>
      <c r="H21" s="310">
        <f>SUMIF($K$29:$K$128,"Project Direct",N$29:N$128)</f>
        <v>0</v>
      </c>
      <c r="I21" s="310">
        <f>SUMIF($K$29:$K$128,"Project Direct",O$29:O$128)</f>
        <v>0</v>
      </c>
      <c r="J21" s="310">
        <f>SUMIF($K$29:$K$128,"Project Direct",P$29:P$128)</f>
        <v>0</v>
      </c>
      <c r="K21" s="246">
        <f t="shared" si="0"/>
        <v>501216.70999999996</v>
      </c>
      <c r="L21" s="175"/>
      <c r="M21" s="175"/>
      <c r="N21" s="175"/>
      <c r="O21" s="27"/>
      <c r="P21" s="27"/>
    </row>
    <row r="22" spans="2:17" ht="15.75" x14ac:dyDescent="0.25">
      <c r="B22" s="300">
        <v>8</v>
      </c>
      <c r="C22" s="308" t="s">
        <v>146</v>
      </c>
      <c r="D22" s="314"/>
      <c r="F22" s="315">
        <f>SUM(F19:F21)</f>
        <v>501216.70999999996</v>
      </c>
      <c r="G22" s="316">
        <f>SUM(G19:G21)</f>
        <v>0</v>
      </c>
      <c r="H22" s="315">
        <f>SUM(H19:H21)</f>
        <v>0</v>
      </c>
      <c r="I22" s="315">
        <f>SUM(I19:I21)</f>
        <v>0</v>
      </c>
      <c r="J22" s="315">
        <f t="shared" ref="J22" si="1">SUM(J19:J21)</f>
        <v>0</v>
      </c>
      <c r="K22" s="246">
        <f t="shared" si="0"/>
        <v>501216.70999999996</v>
      </c>
      <c r="L22" s="175"/>
      <c r="M22" s="175"/>
      <c r="N22" s="175"/>
      <c r="O22" s="27"/>
      <c r="P22" s="27"/>
    </row>
    <row r="23" spans="2:17" ht="30.95" customHeight="1" x14ac:dyDescent="0.25">
      <c r="B23" s="300">
        <v>9</v>
      </c>
      <c r="C23" s="317" t="s">
        <v>239</v>
      </c>
      <c r="D23" s="318"/>
      <c r="E23" s="319"/>
      <c r="F23" s="320">
        <f>SUM(F15:F16,F18:F21)</f>
        <v>763579.22</v>
      </c>
      <c r="G23" s="320">
        <f>SUM(G15:G16,G19:G21)</f>
        <v>0</v>
      </c>
      <c r="H23" s="320">
        <f t="shared" ref="H23:J23" si="2">SUM(H15:H16,H19:H21)</f>
        <v>0</v>
      </c>
      <c r="I23" s="320">
        <f t="shared" si="2"/>
        <v>0</v>
      </c>
      <c r="J23" s="320">
        <f t="shared" si="2"/>
        <v>0</v>
      </c>
      <c r="K23" s="279">
        <f t="shared" si="0"/>
        <v>763579.22</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27</v>
      </c>
      <c r="E29" s="144" t="s">
        <v>792</v>
      </c>
      <c r="F29" s="38"/>
      <c r="G29" s="38">
        <v>43335</v>
      </c>
      <c r="H29" s="38">
        <v>43466</v>
      </c>
      <c r="I29" s="30">
        <v>1240000</v>
      </c>
      <c r="J29" s="30"/>
      <c r="K29" s="326" t="s">
        <v>140</v>
      </c>
      <c r="L29" s="32">
        <v>0</v>
      </c>
      <c r="M29" s="32"/>
      <c r="N29" s="30"/>
      <c r="O29" s="30"/>
      <c r="P29" s="34"/>
      <c r="Q29" s="246">
        <f>SUM(L29:P29)</f>
        <v>0</v>
      </c>
    </row>
    <row r="30" spans="2:17" ht="30" x14ac:dyDescent="0.2">
      <c r="B30" s="276">
        <v>10</v>
      </c>
      <c r="C30" s="218" t="s">
        <v>25</v>
      </c>
      <c r="D30" s="327">
        <f t="shared" ref="D30:J31" si="3">IF(ISBLANK(D29),"",D29)</f>
        <v>27</v>
      </c>
      <c r="E30" s="328" t="str">
        <f t="shared" si="3"/>
        <v>Micro-Innovation Projects to increase Latino Engagement</v>
      </c>
      <c r="F30" s="329" t="str">
        <f t="shared" si="3"/>
        <v/>
      </c>
      <c r="G30" s="329">
        <f t="shared" si="3"/>
        <v>43335</v>
      </c>
      <c r="H30" s="329">
        <f t="shared" si="3"/>
        <v>43466</v>
      </c>
      <c r="I30" s="330">
        <f t="shared" si="3"/>
        <v>1240000</v>
      </c>
      <c r="J30" s="330" t="str">
        <f t="shared" si="3"/>
        <v/>
      </c>
      <c r="K30" s="275" t="s">
        <v>141</v>
      </c>
      <c r="L30" s="32">
        <v>0</v>
      </c>
      <c r="M30" s="32"/>
      <c r="N30" s="30"/>
      <c r="O30" s="30"/>
      <c r="P30" s="34"/>
      <c r="Q30" s="246">
        <f t="shared" ref="Q30:Q60" si="4">SUM(L30:P30)</f>
        <v>0</v>
      </c>
    </row>
    <row r="31" spans="2:17" ht="30" x14ac:dyDescent="0.2">
      <c r="B31" s="276">
        <v>10</v>
      </c>
      <c r="C31" s="218" t="s">
        <v>27</v>
      </c>
      <c r="D31" s="327">
        <f t="shared" ref="D31:I31" si="5">IF(ISBLANK(D29),"",D29)</f>
        <v>27</v>
      </c>
      <c r="E31" s="331" t="str">
        <f t="shared" si="5"/>
        <v>Micro-Innovation Projects to increase Latino Engagement</v>
      </c>
      <c r="F31" s="332" t="str">
        <f t="shared" si="5"/>
        <v/>
      </c>
      <c r="G31" s="332">
        <f t="shared" si="5"/>
        <v>43335</v>
      </c>
      <c r="H31" s="332">
        <f t="shared" si="5"/>
        <v>43466</v>
      </c>
      <c r="I31" s="275">
        <f t="shared" si="5"/>
        <v>1240000</v>
      </c>
      <c r="J31" s="275" t="str">
        <f t="shared" si="3"/>
        <v/>
      </c>
      <c r="K31" s="275" t="s">
        <v>197</v>
      </c>
      <c r="L31" s="32">
        <v>134326.28</v>
      </c>
      <c r="M31" s="32"/>
      <c r="N31" s="30"/>
      <c r="O31" s="30"/>
      <c r="P31" s="34"/>
      <c r="Q31" s="246">
        <f t="shared" si="4"/>
        <v>134326.28</v>
      </c>
    </row>
    <row r="32" spans="2:17" ht="31.5" x14ac:dyDescent="0.25">
      <c r="B32" s="333">
        <v>10</v>
      </c>
      <c r="C32" s="333" t="s">
        <v>202</v>
      </c>
      <c r="D32" s="334">
        <f t="shared" ref="D32:J32" si="6">IF(ISBLANK(D29),"",D29)</f>
        <v>27</v>
      </c>
      <c r="E32" s="335" t="str">
        <f t="shared" si="6"/>
        <v>Micro-Innovation Projects to increase Latino Engagement</v>
      </c>
      <c r="F32" s="336" t="str">
        <f t="shared" si="6"/>
        <v/>
      </c>
      <c r="G32" s="336">
        <f t="shared" si="6"/>
        <v>43335</v>
      </c>
      <c r="H32" s="336">
        <f t="shared" si="6"/>
        <v>43466</v>
      </c>
      <c r="I32" s="337">
        <f t="shared" si="6"/>
        <v>1240000</v>
      </c>
      <c r="J32" s="337" t="str">
        <f t="shared" si="6"/>
        <v/>
      </c>
      <c r="K32" s="279" t="s">
        <v>217</v>
      </c>
      <c r="L32" s="338">
        <f>SUM(L29:L31)</f>
        <v>134326.28</v>
      </c>
      <c r="M32" s="338">
        <f>SUM(M29:M31)</f>
        <v>0</v>
      </c>
      <c r="N32" s="339">
        <f t="shared" ref="N32:P32" si="7">SUM(N29:N31)</f>
        <v>0</v>
      </c>
      <c r="O32" s="339">
        <f t="shared" si="7"/>
        <v>0</v>
      </c>
      <c r="P32" s="340">
        <f t="shared" si="7"/>
        <v>0</v>
      </c>
      <c r="Q32" s="279">
        <f t="shared" si="4"/>
        <v>134326.28</v>
      </c>
    </row>
    <row r="33" spans="2:17" ht="30" x14ac:dyDescent="0.2">
      <c r="B33" s="276">
        <v>11</v>
      </c>
      <c r="C33" s="293" t="s">
        <v>23</v>
      </c>
      <c r="D33" s="325">
        <f>IF(Q36&lt;&gt;0,VLOOKUP($E$9,Info_County_Code,2,FALSE),"")</f>
        <v>27</v>
      </c>
      <c r="E33" s="144" t="s">
        <v>820</v>
      </c>
      <c r="F33" s="38"/>
      <c r="G33" s="38">
        <v>43339</v>
      </c>
      <c r="H33" s="38">
        <v>43466</v>
      </c>
      <c r="I33" s="30">
        <v>2526000</v>
      </c>
      <c r="J33" s="30"/>
      <c r="K33" s="326" t="str">
        <f>IF(NOT(ISBLANK(E33)),$K$29,"")</f>
        <v>Project Administration</v>
      </c>
      <c r="L33" s="32">
        <v>0</v>
      </c>
      <c r="M33" s="32"/>
      <c r="N33" s="30"/>
      <c r="O33" s="30"/>
      <c r="P33" s="34"/>
      <c r="Q33" s="246">
        <f t="shared" ref="Q33:Q36" si="8">SUM(L33:P33)</f>
        <v>0</v>
      </c>
    </row>
    <row r="34" spans="2:17" ht="30" x14ac:dyDescent="0.2">
      <c r="B34" s="276">
        <v>11</v>
      </c>
      <c r="C34" s="218" t="s">
        <v>25</v>
      </c>
      <c r="D34" s="327">
        <f t="shared" ref="D34:J34" si="9">IF(ISBLANK(D33),"",D33)</f>
        <v>27</v>
      </c>
      <c r="E34" s="328" t="str">
        <f t="shared" si="9"/>
        <v>Tech Suite Collaborative - Screening to Timely Assessment - CALMHSA</v>
      </c>
      <c r="F34" s="329" t="str">
        <f t="shared" si="9"/>
        <v/>
      </c>
      <c r="G34" s="329">
        <f t="shared" si="9"/>
        <v>43339</v>
      </c>
      <c r="H34" s="329">
        <f t="shared" si="9"/>
        <v>43466</v>
      </c>
      <c r="I34" s="330">
        <f t="shared" si="9"/>
        <v>2526000</v>
      </c>
      <c r="J34" s="330" t="str">
        <f t="shared" si="9"/>
        <v/>
      </c>
      <c r="K34" s="275" t="str">
        <f>IF(NOT(ISBLANK(E33)),$K$30,"")</f>
        <v>Project Evaluation</v>
      </c>
      <c r="L34" s="32">
        <v>0</v>
      </c>
      <c r="M34" s="32"/>
      <c r="N34" s="30"/>
      <c r="O34" s="30"/>
      <c r="P34" s="34"/>
      <c r="Q34" s="246">
        <f t="shared" si="8"/>
        <v>0</v>
      </c>
    </row>
    <row r="35" spans="2:17" ht="30" x14ac:dyDescent="0.2">
      <c r="B35" s="276">
        <v>11</v>
      </c>
      <c r="C35" s="218" t="s">
        <v>27</v>
      </c>
      <c r="D35" s="327">
        <f t="shared" ref="D35:J35" si="10">IF(ISBLANK(D33),"",D33)</f>
        <v>27</v>
      </c>
      <c r="E35" s="331" t="str">
        <f t="shared" si="10"/>
        <v>Tech Suite Collaborative - Screening to Timely Assessment - CALMHSA</v>
      </c>
      <c r="F35" s="332" t="str">
        <f t="shared" si="10"/>
        <v/>
      </c>
      <c r="G35" s="332">
        <f t="shared" si="10"/>
        <v>43339</v>
      </c>
      <c r="H35" s="332">
        <f t="shared" si="10"/>
        <v>43466</v>
      </c>
      <c r="I35" s="275">
        <f t="shared" si="10"/>
        <v>2526000</v>
      </c>
      <c r="J35" s="275" t="str">
        <f t="shared" si="10"/>
        <v/>
      </c>
      <c r="K35" s="275" t="str">
        <f>IF(NOT(ISBLANK(E33)),$K$31,"")</f>
        <v>Project Direct</v>
      </c>
      <c r="L35" s="32">
        <v>29905.14</v>
      </c>
      <c r="M35" s="32"/>
      <c r="N35" s="30"/>
      <c r="O35" s="30"/>
      <c r="P35" s="34"/>
      <c r="Q35" s="246">
        <f t="shared" si="8"/>
        <v>29905.14</v>
      </c>
    </row>
    <row r="36" spans="2:17" ht="31.5" x14ac:dyDescent="0.25">
      <c r="B36" s="333">
        <v>11</v>
      </c>
      <c r="C36" s="333" t="s">
        <v>202</v>
      </c>
      <c r="D36" s="334">
        <f t="shared" ref="D36:J36" si="11">IF(ISBLANK(D33),"",D33)</f>
        <v>27</v>
      </c>
      <c r="E36" s="335" t="str">
        <f t="shared" si="11"/>
        <v>Tech Suite Collaborative - Screening to Timely Assessment - CALMHSA</v>
      </c>
      <c r="F36" s="336" t="str">
        <f t="shared" si="11"/>
        <v/>
      </c>
      <c r="G36" s="336">
        <f t="shared" si="11"/>
        <v>43339</v>
      </c>
      <c r="H36" s="336">
        <f t="shared" si="11"/>
        <v>43466</v>
      </c>
      <c r="I36" s="337">
        <f t="shared" si="11"/>
        <v>2526000</v>
      </c>
      <c r="J36" s="337" t="str">
        <f t="shared" si="11"/>
        <v/>
      </c>
      <c r="K36" s="279" t="str">
        <f>IF(NOT(ISBLANK(E33)),$K$32,"")</f>
        <v>Project Subtotal</v>
      </c>
      <c r="L36" s="338">
        <f t="shared" ref="L36" si="12">SUM(L33:L35)</f>
        <v>29905.14</v>
      </c>
      <c r="M36" s="338">
        <f>SUM(M33:M35)</f>
        <v>0</v>
      </c>
      <c r="N36" s="339">
        <f t="shared" ref="N36:P36" si="13">SUM(N33:N35)</f>
        <v>0</v>
      </c>
      <c r="O36" s="339">
        <f t="shared" si="13"/>
        <v>0</v>
      </c>
      <c r="P36" s="340">
        <f t="shared" si="13"/>
        <v>0</v>
      </c>
      <c r="Q36" s="279">
        <f t="shared" si="8"/>
        <v>29905.14</v>
      </c>
    </row>
    <row r="37" spans="2:17" x14ac:dyDescent="0.2">
      <c r="B37" s="276">
        <v>12</v>
      </c>
      <c r="C37" s="293" t="s">
        <v>23</v>
      </c>
      <c r="D37" s="325">
        <f>IF(Q40&lt;&gt;0,VLOOKUP($E$9,Info_County_Code,2,FALSE),"")</f>
        <v>27</v>
      </c>
      <c r="E37" s="144" t="s">
        <v>793</v>
      </c>
      <c r="F37" s="38"/>
      <c r="G37" s="38">
        <v>43335</v>
      </c>
      <c r="H37" s="38">
        <v>43466</v>
      </c>
      <c r="I37" s="30">
        <v>1234000</v>
      </c>
      <c r="J37" s="30"/>
      <c r="K37" s="326" t="str">
        <f>IF(NOT(ISBLANK(E37)),$K$29,"")</f>
        <v>Project Administration</v>
      </c>
      <c r="L37" s="32">
        <v>0</v>
      </c>
      <c r="M37" s="32"/>
      <c r="N37" s="30"/>
      <c r="O37" s="30"/>
      <c r="P37" s="34"/>
      <c r="Q37" s="246">
        <f t="shared" si="4"/>
        <v>0</v>
      </c>
    </row>
    <row r="38" spans="2:17" x14ac:dyDescent="0.2">
      <c r="B38" s="276">
        <v>12</v>
      </c>
      <c r="C38" s="218" t="s">
        <v>25</v>
      </c>
      <c r="D38" s="327">
        <f t="shared" ref="D38:J38" si="14">IF(ISBLANK(D37),"",D37)</f>
        <v>27</v>
      </c>
      <c r="E38" s="328" t="str">
        <f t="shared" si="14"/>
        <v xml:space="preserve">Transpostation Coaching by Wellness Navigator </v>
      </c>
      <c r="F38" s="329" t="str">
        <f t="shared" si="14"/>
        <v/>
      </c>
      <c r="G38" s="329">
        <f t="shared" si="14"/>
        <v>43335</v>
      </c>
      <c r="H38" s="329">
        <f t="shared" si="14"/>
        <v>43466</v>
      </c>
      <c r="I38" s="330">
        <f t="shared" si="14"/>
        <v>1234000</v>
      </c>
      <c r="J38" s="330" t="str">
        <f t="shared" si="14"/>
        <v/>
      </c>
      <c r="K38" s="275" t="str">
        <f>IF(NOT(ISBLANK(E37)),$K$30,"")</f>
        <v>Project Evaluation</v>
      </c>
      <c r="L38" s="32">
        <v>0</v>
      </c>
      <c r="M38" s="32"/>
      <c r="N38" s="30"/>
      <c r="O38" s="30"/>
      <c r="P38" s="34"/>
      <c r="Q38" s="246">
        <f t="shared" si="4"/>
        <v>0</v>
      </c>
    </row>
    <row r="39" spans="2:17" x14ac:dyDescent="0.2">
      <c r="B39" s="276">
        <v>12</v>
      </c>
      <c r="C39" s="218" t="s">
        <v>27</v>
      </c>
      <c r="D39" s="327">
        <f t="shared" ref="D39:J39" si="15">IF(ISBLANK(D37),"",D37)</f>
        <v>27</v>
      </c>
      <c r="E39" s="331" t="str">
        <f t="shared" si="15"/>
        <v xml:space="preserve">Transpostation Coaching by Wellness Navigator </v>
      </c>
      <c r="F39" s="332" t="str">
        <f t="shared" si="15"/>
        <v/>
      </c>
      <c r="G39" s="332">
        <f t="shared" si="15"/>
        <v>43335</v>
      </c>
      <c r="H39" s="332">
        <f t="shared" si="15"/>
        <v>43466</v>
      </c>
      <c r="I39" s="275">
        <f t="shared" si="15"/>
        <v>1234000</v>
      </c>
      <c r="J39" s="275" t="str">
        <f t="shared" si="15"/>
        <v/>
      </c>
      <c r="K39" s="275" t="str">
        <f>IF(NOT(ISBLANK(E37)),$K$31,"")</f>
        <v>Project Direct</v>
      </c>
      <c r="L39" s="32">
        <v>336985.29</v>
      </c>
      <c r="M39" s="32"/>
      <c r="N39" s="30"/>
      <c r="O39" s="30"/>
      <c r="P39" s="34"/>
      <c r="Q39" s="246">
        <f t="shared" si="4"/>
        <v>336985.29</v>
      </c>
    </row>
    <row r="40" spans="2:17" ht="31.5" x14ac:dyDescent="0.25">
      <c r="B40" s="333">
        <v>12</v>
      </c>
      <c r="C40" s="333" t="s">
        <v>202</v>
      </c>
      <c r="D40" s="334">
        <f t="shared" ref="D40:J40" si="16">IF(ISBLANK(D37),"",D37)</f>
        <v>27</v>
      </c>
      <c r="E40" s="335" t="str">
        <f t="shared" si="16"/>
        <v xml:space="preserve">Transpostation Coaching by Wellness Navigator </v>
      </c>
      <c r="F40" s="336" t="str">
        <f t="shared" si="16"/>
        <v/>
      </c>
      <c r="G40" s="336">
        <f t="shared" si="16"/>
        <v>43335</v>
      </c>
      <c r="H40" s="336">
        <f t="shared" si="16"/>
        <v>43466</v>
      </c>
      <c r="I40" s="337">
        <f t="shared" si="16"/>
        <v>1234000</v>
      </c>
      <c r="J40" s="337" t="str">
        <f t="shared" si="16"/>
        <v/>
      </c>
      <c r="K40" s="279" t="str">
        <f>IF(NOT(ISBLANK(E37)),$K$32,"")</f>
        <v>Project Subtotal</v>
      </c>
      <c r="L40" s="338">
        <f t="shared" ref="L40" si="17">SUM(L37:L39)</f>
        <v>336985.29</v>
      </c>
      <c r="M40" s="338">
        <f>SUM(M37:M39)</f>
        <v>0</v>
      </c>
      <c r="N40" s="339">
        <f t="shared" ref="N40" si="18">SUM(N37:N39)</f>
        <v>0</v>
      </c>
      <c r="O40" s="339">
        <f t="shared" ref="O40" si="19">SUM(O37:O39)</f>
        <v>0</v>
      </c>
      <c r="P40" s="340">
        <f t="shared" ref="P40" si="20">SUM(P37:P39)</f>
        <v>0</v>
      </c>
      <c r="Q40" s="279">
        <f t="shared" si="4"/>
        <v>336985.29</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5"/>
  <sheetViews>
    <sheetView showGridLines="0" topLeftCell="A7" zoomScale="80" zoomScaleNormal="80" zoomScaleSheetLayoutView="55" workbookViewId="0">
      <selection activeCell="F20" sqref="F20"/>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2019-2020</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Monterey</v>
      </c>
      <c r="F9" s="226" t="s">
        <v>1</v>
      </c>
      <c r="G9" s="346">
        <f>IF(ISBLANK('1. Information'!D9),"",'1. Information'!D9)</f>
        <v>44201</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v>0</v>
      </c>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345</v>
      </c>
      <c r="G17" s="136"/>
      <c r="H17" s="136"/>
      <c r="I17" s="136"/>
      <c r="J17" s="136"/>
      <c r="K17" s="241">
        <f t="shared" si="0"/>
        <v>345</v>
      </c>
      <c r="L17" s="175"/>
      <c r="M17" s="175"/>
      <c r="N17" s="27"/>
      <c r="O17" s="27"/>
    </row>
    <row r="18" spans="1:22" ht="15.75" x14ac:dyDescent="0.25">
      <c r="A18" s="27"/>
      <c r="B18" s="300">
        <v>4</v>
      </c>
      <c r="C18" s="163" t="s">
        <v>189</v>
      </c>
      <c r="D18" s="242"/>
      <c r="E18" s="350"/>
      <c r="F18" s="136">
        <v>0</v>
      </c>
      <c r="G18" s="275"/>
      <c r="H18" s="275"/>
      <c r="I18" s="275"/>
      <c r="J18" s="275"/>
      <c r="K18" s="241">
        <f>F18</f>
        <v>0</v>
      </c>
      <c r="L18" s="175"/>
      <c r="M18" s="175"/>
      <c r="N18" s="27"/>
      <c r="O18" s="27"/>
    </row>
    <row r="19" spans="1:22" ht="15.75" x14ac:dyDescent="0.25">
      <c r="A19" s="27"/>
      <c r="B19" s="300">
        <v>5</v>
      </c>
      <c r="C19" s="163" t="s">
        <v>296</v>
      </c>
      <c r="D19" s="242"/>
      <c r="E19" s="350"/>
      <c r="F19" s="136">
        <v>0</v>
      </c>
      <c r="G19" s="275"/>
      <c r="H19" s="275"/>
      <c r="I19" s="275"/>
      <c r="J19" s="275"/>
      <c r="K19" s="241">
        <f>F19</f>
        <v>0</v>
      </c>
      <c r="L19" s="175"/>
      <c r="M19" s="175"/>
      <c r="N19" s="27"/>
      <c r="O19" s="27"/>
    </row>
    <row r="20" spans="1:22" ht="15.75" x14ac:dyDescent="0.25">
      <c r="A20" s="27"/>
      <c r="B20" s="300">
        <v>6</v>
      </c>
      <c r="C20" s="242" t="s">
        <v>153</v>
      </c>
      <c r="D20" s="245"/>
      <c r="E20" s="243"/>
      <c r="F20" s="330">
        <f>SUM(E28:E32)</f>
        <v>2300</v>
      </c>
      <c r="G20" s="351">
        <f t="shared" ref="G20:I20" si="1">SUM(F28:F32)</f>
        <v>0</v>
      </c>
      <c r="H20" s="330">
        <f t="shared" si="1"/>
        <v>0</v>
      </c>
      <c r="I20" s="330">
        <f t="shared" si="1"/>
        <v>0</v>
      </c>
      <c r="J20" s="330">
        <f>SUM(I28:I32)</f>
        <v>0</v>
      </c>
      <c r="K20" s="246">
        <f t="shared" si="0"/>
        <v>2300</v>
      </c>
      <c r="L20" s="175"/>
      <c r="M20" s="175"/>
      <c r="N20" s="27"/>
      <c r="O20" s="27"/>
    </row>
    <row r="21" spans="1:22" ht="30.95" customHeight="1" x14ac:dyDescent="0.25">
      <c r="A21" s="27"/>
      <c r="B21" s="300">
        <v>7</v>
      </c>
      <c r="C21" s="277" t="s">
        <v>188</v>
      </c>
      <c r="D21" s="277"/>
      <c r="E21" s="277"/>
      <c r="F21" s="279">
        <f>SUM(F15:F17,F19:F20)</f>
        <v>2645</v>
      </c>
      <c r="G21" s="251">
        <f>SUM(G15:G17,G20)</f>
        <v>0</v>
      </c>
      <c r="H21" s="250">
        <f>SUM(H15:H17,H20)</f>
        <v>0</v>
      </c>
      <c r="I21" s="250">
        <f>SUM(I15:I17,I20)</f>
        <v>0</v>
      </c>
      <c r="J21" s="250">
        <f>SUM(J15:J17,J20)</f>
        <v>0</v>
      </c>
      <c r="K21" s="279">
        <f t="shared" si="0"/>
        <v>2645</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v>0</v>
      </c>
      <c r="F28" s="32"/>
      <c r="G28" s="31"/>
      <c r="H28" s="31"/>
      <c r="I28" s="128"/>
      <c r="J28" s="275">
        <f>SUM(E28:I28)</f>
        <v>0</v>
      </c>
      <c r="K28" s="175"/>
      <c r="L28" s="175"/>
      <c r="M28" s="175"/>
      <c r="N28" s="175"/>
      <c r="O28" s="175"/>
      <c r="P28" s="175"/>
      <c r="Q28" s="175"/>
      <c r="R28" s="175"/>
    </row>
    <row r="29" spans="1:22" ht="15.75" x14ac:dyDescent="0.25">
      <c r="A29" s="27"/>
      <c r="B29" s="300">
        <v>9</v>
      </c>
      <c r="C29" s="301">
        <f t="shared" si="2"/>
        <v>27</v>
      </c>
      <c r="D29" s="355" t="s">
        <v>99</v>
      </c>
      <c r="E29" s="31">
        <v>2300</v>
      </c>
      <c r="F29" s="32"/>
      <c r="G29" s="31"/>
      <c r="H29" s="31"/>
      <c r="I29" s="128"/>
      <c r="J29" s="275">
        <f t="shared" ref="J29:J32" si="3">SUM(E29:I29)</f>
        <v>2300</v>
      </c>
      <c r="K29" s="175"/>
      <c r="L29" s="175"/>
      <c r="M29" s="175"/>
      <c r="N29" s="175"/>
      <c r="O29" s="175"/>
      <c r="P29" s="175"/>
      <c r="Q29" s="175"/>
      <c r="R29" s="175"/>
    </row>
    <row r="30" spans="1:22" ht="15.75" x14ac:dyDescent="0.25">
      <c r="A30" s="27"/>
      <c r="B30" s="300">
        <v>10</v>
      </c>
      <c r="C30" s="301" t="str">
        <f t="shared" si="2"/>
        <v/>
      </c>
      <c r="D30" s="219" t="s">
        <v>295</v>
      </c>
      <c r="E30" s="31">
        <v>0</v>
      </c>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v>0</v>
      </c>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v>0</v>
      </c>
      <c r="F32" s="32"/>
      <c r="G32" s="31"/>
      <c r="H32" s="31"/>
      <c r="I32" s="128"/>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52"/>
  <sheetViews>
    <sheetView showGridLines="0" topLeftCell="B1" zoomScale="80" zoomScaleNormal="80" zoomScaleSheetLayoutView="40" workbookViewId="0">
      <selection activeCell="K28" sqref="K2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2019-2020</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Monterey</v>
      </c>
      <c r="E9" s="8"/>
      <c r="F9" s="162" t="s">
        <v>1</v>
      </c>
      <c r="G9" s="264">
        <f>IF(ISBLANK('1. Information'!D9),"",'1. Information'!D9)</f>
        <v>44201</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v>0</v>
      </c>
      <c r="G16" s="136"/>
      <c r="H16" s="136"/>
      <c r="I16" s="136"/>
      <c r="J16" s="136"/>
      <c r="K16" s="326">
        <f t="shared" ref="K16:K20" si="0">SUM(F16:J16)</f>
        <v>0</v>
      </c>
      <c r="L16" s="175"/>
      <c r="M16" s="175"/>
      <c r="U16" s="27"/>
      <c r="V16" s="27"/>
      <c r="W16" s="27"/>
    </row>
    <row r="17" spans="1:23" x14ac:dyDescent="0.25">
      <c r="B17" s="300">
        <v>3</v>
      </c>
      <c r="C17" s="162" t="s">
        <v>311</v>
      </c>
      <c r="D17" s="225"/>
      <c r="E17" s="358"/>
      <c r="F17" s="136">
        <v>14372.21</v>
      </c>
      <c r="G17" s="136"/>
      <c r="H17" s="136"/>
      <c r="I17" s="136"/>
      <c r="J17" s="136"/>
      <c r="K17" s="326">
        <f t="shared" si="0"/>
        <v>14372.21</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95814.74</v>
      </c>
      <c r="G20" s="351">
        <f>SUM(H27:H46)</f>
        <v>0</v>
      </c>
      <c r="H20" s="330">
        <f t="shared" ref="H20" si="1">SUM(I27:I46)</f>
        <v>0</v>
      </c>
      <c r="I20" s="330">
        <f>SUM(J27:J46)</f>
        <v>0</v>
      </c>
      <c r="J20" s="275">
        <f>SUM(K27:K46)</f>
        <v>0</v>
      </c>
      <c r="K20" s="326">
        <f t="shared" si="0"/>
        <v>95814.74</v>
      </c>
      <c r="L20" s="175"/>
      <c r="M20" s="175"/>
      <c r="U20" s="27"/>
      <c r="V20" s="27"/>
      <c r="W20" s="27"/>
    </row>
    <row r="21" spans="1:23" ht="30.95" customHeight="1" x14ac:dyDescent="0.25">
      <c r="B21" s="300">
        <v>7</v>
      </c>
      <c r="C21" s="359" t="s">
        <v>768</v>
      </c>
      <c r="D21" s="360"/>
      <c r="E21" s="361"/>
      <c r="F21" s="279">
        <f>SUM(F15:F17,F19:F20)</f>
        <v>110186.95000000001</v>
      </c>
      <c r="G21" s="251">
        <f>SUM(G15:G17,G20)</f>
        <v>0</v>
      </c>
      <c r="H21" s="251">
        <f t="shared" ref="H21:J21" si="2">SUM(H15:H17,H20)</f>
        <v>0</v>
      </c>
      <c r="I21" s="251">
        <f t="shared" si="2"/>
        <v>0</v>
      </c>
      <c r="J21" s="251">
        <f t="shared" si="2"/>
        <v>0</v>
      </c>
      <c r="K21" s="250">
        <f>SUM(F21:J21)</f>
        <v>110186.95000000001</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27</v>
      </c>
      <c r="D27" s="144" t="s">
        <v>791</v>
      </c>
      <c r="E27" s="144"/>
      <c r="F27" s="127" t="s">
        <v>154</v>
      </c>
      <c r="G27" s="126">
        <v>95814.74</v>
      </c>
      <c r="H27" s="126"/>
      <c r="I27" s="126"/>
      <c r="J27" s="129"/>
      <c r="K27" s="126"/>
      <c r="L27" s="364">
        <f>SUM(G27:K27)</f>
        <v>95814.74</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RVE8c6PCxS7nvYrglN1kjksE7BVEF4dOwhVNZyvCGd0DUkv9hi4vSy6OD6Ki8jGLTgjvorwAIrE/rQLNuZDsVg==" saltValue="6L7+TGIEmURqxMSuxDp2K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"Capital Facility, Technological Need"</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5"/>
  <sheetViews>
    <sheetView showGridLines="0" zoomScale="85" zoomScaleNormal="85" workbookViewId="0">
      <selection activeCell="H15" sqref="H15"/>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2019-2020</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Monterey</v>
      </c>
      <c r="E9" s="2"/>
      <c r="F9" s="365" t="s">
        <v>156</v>
      </c>
      <c r="G9" s="264">
        <f>IF(ISBLANK('1. Information'!D9),"",'1. Information'!D9)</f>
        <v>44201</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ht="75" x14ac:dyDescent="0.2">
      <c r="B15" s="300">
        <v>1</v>
      </c>
      <c r="C15" s="301">
        <f t="shared" ref="C15:C44" si="0">IF(G15&lt;&gt;0,VLOOKUP($D$9,Info_County_Code,2,FALSE),"")</f>
        <v>27</v>
      </c>
      <c r="D15" s="40" t="s">
        <v>28</v>
      </c>
      <c r="E15" s="40" t="s">
        <v>789</v>
      </c>
      <c r="F15" s="150" t="s">
        <v>790</v>
      </c>
      <c r="G15" s="132">
        <v>1087851.67</v>
      </c>
      <c r="H15" s="134" t="s">
        <v>819</v>
      </c>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2019-2020</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Monterey</v>
      </c>
      <c r="F9" s="226" t="s">
        <v>1</v>
      </c>
      <c r="G9" s="346">
        <f>IF(ISBLANK('1. Information'!D9),"",'1. Information'!D9)</f>
        <v>44201</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9"/>
  <sheetViews>
    <sheetView showGridLines="0"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2019-2020</v>
      </c>
      <c r="C6" s="1"/>
      <c r="D6" s="1"/>
    </row>
    <row r="7" spans="1:5" ht="18" x14ac:dyDescent="0.2">
      <c r="B7" s="382" t="s">
        <v>282</v>
      </c>
      <c r="C7" s="1"/>
      <c r="D7" s="1"/>
      <c r="E7" s="27"/>
    </row>
    <row r="8" spans="1:5" x14ac:dyDescent="0.2">
      <c r="D8" s="131"/>
    </row>
    <row r="9" spans="1:5" ht="34.5" customHeight="1" x14ac:dyDescent="0.2">
      <c r="B9" s="203">
        <v>1</v>
      </c>
      <c r="C9" s="209" t="s">
        <v>1</v>
      </c>
      <c r="D9" s="113">
        <v>44201</v>
      </c>
    </row>
    <row r="10" spans="1:5" ht="34.5" customHeight="1" x14ac:dyDescent="0.2">
      <c r="B10" s="203">
        <v>2</v>
      </c>
      <c r="C10" s="205" t="s">
        <v>303</v>
      </c>
      <c r="D10" s="151" t="s">
        <v>782</v>
      </c>
    </row>
    <row r="11" spans="1:5" ht="34.5" customHeight="1" x14ac:dyDescent="0.2">
      <c r="B11" s="203">
        <v>3</v>
      </c>
      <c r="C11" s="204" t="s">
        <v>0</v>
      </c>
      <c r="D11" s="135" t="s">
        <v>62</v>
      </c>
    </row>
    <row r="12" spans="1:5" ht="34.5" customHeight="1" x14ac:dyDescent="0.2">
      <c r="B12" s="203">
        <v>4</v>
      </c>
      <c r="C12" s="206" t="s">
        <v>113</v>
      </c>
      <c r="D12" s="182">
        <f>IF(ISBLANK(D11),"",VLOOKUP(D11,Info_County_Code,2))</f>
        <v>27</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93906</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15" sqref="E15"/>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2019-2020</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Monterey</v>
      </c>
      <c r="F9" s="226" t="s">
        <v>1</v>
      </c>
      <c r="G9" s="346">
        <f>IF(ISBLANK('1. Information'!D9),"",'1. Information'!D9)</f>
        <v>44201</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30" x14ac:dyDescent="0.2">
      <c r="B13" s="375">
        <v>1</v>
      </c>
      <c r="C13" s="169" t="s">
        <v>30</v>
      </c>
      <c r="D13" s="169" t="s">
        <v>815</v>
      </c>
      <c r="E13" s="134" t="s">
        <v>817</v>
      </c>
    </row>
    <row r="14" spans="1:30" ht="30" x14ac:dyDescent="0.2">
      <c r="B14" s="376">
        <v>2</v>
      </c>
      <c r="C14" s="169" t="s">
        <v>32</v>
      </c>
      <c r="D14" s="416" t="s">
        <v>816</v>
      </c>
      <c r="E14" s="134" t="s">
        <v>818</v>
      </c>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Monterey</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0" t="s">
        <v>171</v>
      </c>
      <c r="B2" s="420"/>
      <c r="C2" s="420"/>
      <c r="D2" s="420"/>
      <c r="E2" s="420"/>
    </row>
    <row r="3" spans="1:7" ht="14.25" customHeight="1" x14ac:dyDescent="0.25">
      <c r="A3" s="420" t="s">
        <v>235</v>
      </c>
      <c r="B3" s="420"/>
      <c r="C3" s="420"/>
      <c r="D3" s="420"/>
      <c r="E3" s="420"/>
    </row>
    <row r="4" spans="1:7" ht="14.25" customHeight="1" thickBot="1" x14ac:dyDescent="0.3">
      <c r="A4" s="57"/>
      <c r="B4" s="58"/>
      <c r="C4" s="59"/>
      <c r="D4" s="60"/>
    </row>
    <row r="5" spans="1:7" ht="14.25" customHeight="1" x14ac:dyDescent="0.25">
      <c r="A5" s="61" t="s">
        <v>172</v>
      </c>
      <c r="B5" s="419" t="s">
        <v>173</v>
      </c>
      <c r="C5" s="41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54"/>
  <sheetViews>
    <sheetView showGridLines="0" topLeftCell="B1" zoomScale="80" zoomScaleNormal="80" zoomScaleSheetLayoutView="40" zoomScalePageLayoutView="85" workbookViewId="0">
      <selection activeCell="H44" sqref="H4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2019-2020</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Monterey</v>
      </c>
      <c r="F9" s="210" t="s">
        <v>1</v>
      </c>
      <c r="G9" s="185">
        <f>IF(ISBLANK('1. Information'!D9),"",'1. Information'!D9)</f>
        <v>44201</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426947</v>
      </c>
      <c r="E14" s="149">
        <v>27462</v>
      </c>
      <c r="F14" s="149">
        <v>12086</v>
      </c>
      <c r="G14" s="149">
        <v>0</v>
      </c>
      <c r="H14" s="149">
        <v>0</v>
      </c>
      <c r="I14" s="186">
        <f>SUM(D14:H14)</f>
        <v>466495</v>
      </c>
    </row>
    <row r="15" spans="1:9" x14ac:dyDescent="0.2">
      <c r="B15" s="218">
        <v>2</v>
      </c>
      <c r="C15" s="219" t="s">
        <v>278</v>
      </c>
      <c r="D15" s="164"/>
      <c r="E15" s="164">
        <f>3488.18+41.45</f>
        <v>3529.6299999999997</v>
      </c>
      <c r="F15" s="164">
        <v>17511.759999999998</v>
      </c>
      <c r="G15" s="164"/>
      <c r="H15" s="164"/>
      <c r="I15" s="186">
        <f>SUM(D15:H15)</f>
        <v>21041.39</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4795236.0599999996</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4795236.0599999996</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-3200302</v>
      </c>
      <c r="E27" s="188">
        <f>'3. CSS'!F21</f>
        <v>0</v>
      </c>
      <c r="F27" s="186">
        <f>'3. CSS'!F22</f>
        <v>1000000</v>
      </c>
      <c r="G27" s="194">
        <f>'3. CSS'!F23</f>
        <v>2200302</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14420607.09</v>
      </c>
      <c r="E31" s="194">
        <f>'4. PEI'!F22</f>
        <v>4045522.09</v>
      </c>
      <c r="F31" s="194">
        <f>'5. INN'!F23</f>
        <v>763579.22</v>
      </c>
      <c r="G31" s="194">
        <f>'6. WET'!F21</f>
        <v>2645</v>
      </c>
      <c r="H31" s="194">
        <f>'7. CFTN'!F21</f>
        <v>110186.95000000001</v>
      </c>
      <c r="I31" s="194">
        <f t="shared" ref="I31:I35" si="0">SUM(D31:H31)</f>
        <v>19342540.349999998</v>
      </c>
    </row>
    <row r="32" spans="2:10" x14ac:dyDescent="0.2">
      <c r="B32" s="211">
        <v>10</v>
      </c>
      <c r="C32" s="223" t="s">
        <v>4</v>
      </c>
      <c r="D32" s="189">
        <f>'3. CSS'!G27</f>
        <v>9596090.370000001</v>
      </c>
      <c r="E32" s="189">
        <f>'4. PEI'!G22</f>
        <v>758250.83</v>
      </c>
      <c r="F32" s="189">
        <f>'5. INN'!G23</f>
        <v>0</v>
      </c>
      <c r="G32" s="189">
        <f>'6. WET'!G21</f>
        <v>0</v>
      </c>
      <c r="H32" s="189">
        <f>'7. CFTN'!G21</f>
        <v>0</v>
      </c>
      <c r="I32" s="194">
        <f t="shared" si="0"/>
        <v>10354341.200000001</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920964.26</v>
      </c>
      <c r="E35" s="189">
        <f>'4. PEI'!J22</f>
        <v>107337.12000000001</v>
      </c>
      <c r="F35" s="189">
        <f>'5. INN'!J23</f>
        <v>0</v>
      </c>
      <c r="G35" s="189">
        <f>'6. WET'!J21</f>
        <v>0</v>
      </c>
      <c r="H35" s="189">
        <f>'7. CFTN'!J21</f>
        <v>0</v>
      </c>
      <c r="I35" s="194">
        <f t="shared" si="0"/>
        <v>1028301.38</v>
      </c>
    </row>
    <row r="36" spans="2:9" ht="15.75" x14ac:dyDescent="0.25">
      <c r="B36" s="211">
        <v>14</v>
      </c>
      <c r="C36" s="224" t="s">
        <v>21</v>
      </c>
      <c r="D36" s="195">
        <f>SUM(D31:D35)</f>
        <v>24937661.720000003</v>
      </c>
      <c r="E36" s="195">
        <f t="shared" ref="E36:H36" si="1">SUM(E31:E35)</f>
        <v>4911110.04</v>
      </c>
      <c r="F36" s="195">
        <f t="shared" si="1"/>
        <v>763579.22</v>
      </c>
      <c r="G36" s="195">
        <f t="shared" si="1"/>
        <v>2645</v>
      </c>
      <c r="H36" s="195">
        <f t="shared" si="1"/>
        <v>110186.95000000001</v>
      </c>
      <c r="I36" s="196">
        <f>SUM(D36:H36)</f>
        <v>30725182.93</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117549.2</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3958531.9699999997</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row>
    <row r="46" spans="2:9" ht="15.75" x14ac:dyDescent="0.25">
      <c r="B46" s="211">
        <v>21</v>
      </c>
      <c r="C46" s="162" t="s">
        <v>249</v>
      </c>
      <c r="D46" s="149">
        <v>25000</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9"/>
  <sheetViews>
    <sheetView showGridLines="0" topLeftCell="A10" zoomScale="80" zoomScaleNormal="80" zoomScaleSheetLayoutView="40" zoomScalePageLayoutView="70" workbookViewId="0">
      <selection activeCell="E38" sqref="E38"/>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2019-2020</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Monterey</v>
      </c>
      <c r="E9" s="123"/>
      <c r="F9" s="226" t="s">
        <v>1</v>
      </c>
      <c r="G9" s="227">
        <f>IF(ISBLANK('1. Information'!D9),"",'1. Information'!D9)</f>
        <v>44201</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94039.360000000001</v>
      </c>
      <c r="G15" s="136"/>
      <c r="H15" s="136"/>
      <c r="I15" s="136"/>
      <c r="J15" s="136"/>
      <c r="K15" s="241">
        <f>SUM(F15:J15)</f>
        <v>94039.360000000001</v>
      </c>
      <c r="L15" s="175"/>
    </row>
    <row r="16" spans="1:12" ht="15" customHeight="1" x14ac:dyDescent="0.25">
      <c r="A16" s="123"/>
      <c r="B16" s="234">
        <v>2</v>
      </c>
      <c r="C16" s="163" t="s">
        <v>7</v>
      </c>
      <c r="D16" s="242"/>
      <c r="E16" s="243"/>
      <c r="F16" s="136"/>
      <c r="G16" s="136"/>
      <c r="H16" s="136"/>
      <c r="I16" s="136"/>
      <c r="J16" s="136"/>
      <c r="K16" s="241">
        <f t="shared" ref="K16:K17" si="0">SUM(F16:J16)</f>
        <v>0</v>
      </c>
      <c r="L16" s="175"/>
    </row>
    <row r="17" spans="1:12" ht="15.75" customHeight="1" x14ac:dyDescent="0.25">
      <c r="A17" s="123"/>
      <c r="B17" s="234">
        <v>3</v>
      </c>
      <c r="C17" s="163" t="s">
        <v>117</v>
      </c>
      <c r="D17" s="242"/>
      <c r="E17" s="243"/>
      <c r="F17" s="136">
        <v>3240472.48</v>
      </c>
      <c r="G17" s="136"/>
      <c r="H17" s="136"/>
      <c r="I17" s="136"/>
      <c r="J17" s="136"/>
      <c r="K17" s="241">
        <f t="shared" si="0"/>
        <v>3240472.48</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1000000</v>
      </c>
      <c r="G22" s="246"/>
      <c r="H22" s="246"/>
      <c r="I22" s="246"/>
      <c r="J22" s="246"/>
      <c r="K22" s="241">
        <f t="shared" si="1"/>
        <v>1000000</v>
      </c>
      <c r="L22" s="175"/>
    </row>
    <row r="23" spans="1:12" x14ac:dyDescent="0.25">
      <c r="A23" s="124"/>
      <c r="B23" s="218">
        <v>9</v>
      </c>
      <c r="C23" s="242" t="s">
        <v>193</v>
      </c>
      <c r="D23" s="245"/>
      <c r="E23" s="243"/>
      <c r="F23" s="136">
        <v>2200302</v>
      </c>
      <c r="G23" s="246"/>
      <c r="H23" s="246"/>
      <c r="I23" s="246"/>
      <c r="J23" s="246"/>
      <c r="K23" s="241">
        <f t="shared" si="1"/>
        <v>2200302</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11086095.25</v>
      </c>
      <c r="G25" s="246">
        <f>SUM(H34:H133)</f>
        <v>9596090.370000001</v>
      </c>
      <c r="H25" s="246">
        <f>SUM(I34:I133)</f>
        <v>0</v>
      </c>
      <c r="I25" s="246">
        <f>SUM(J34:J133)</f>
        <v>0</v>
      </c>
      <c r="J25" s="246">
        <f>SUM(K34:K133)</f>
        <v>920964.26</v>
      </c>
      <c r="K25" s="246">
        <f>SUM(F25:J25)</f>
        <v>21603149.880000003</v>
      </c>
      <c r="L25" s="175"/>
    </row>
    <row r="26" spans="1:12" ht="30.95" customHeight="1" x14ac:dyDescent="0.25">
      <c r="A26" s="123"/>
      <c r="B26" s="234">
        <v>12</v>
      </c>
      <c r="C26" s="247" t="s">
        <v>190</v>
      </c>
      <c r="D26" s="248"/>
      <c r="E26" s="249"/>
      <c r="F26" s="250">
        <f t="shared" ref="F26" si="2">SUM(F15:F17,F19:F25)</f>
        <v>17620909.09</v>
      </c>
      <c r="G26" s="250">
        <f>SUM(G15:G17,G25)</f>
        <v>9596090.370000001</v>
      </c>
      <c r="H26" s="251">
        <f>SUM(H15:H17,H25)</f>
        <v>0</v>
      </c>
      <c r="I26" s="250">
        <f>SUM(I15:I17,I25)</f>
        <v>0</v>
      </c>
      <c r="J26" s="250">
        <f>SUM(J15:J17,J25)</f>
        <v>920964.26</v>
      </c>
      <c r="K26" s="250">
        <f>SUM(F26:J26)</f>
        <v>28137963.720000003</v>
      </c>
      <c r="L26" s="175"/>
    </row>
    <row r="27" spans="1:12" ht="30.95" customHeight="1" x14ac:dyDescent="0.25">
      <c r="A27" s="123"/>
      <c r="B27" s="234">
        <v>13</v>
      </c>
      <c r="C27" s="252" t="s">
        <v>675</v>
      </c>
      <c r="D27" s="252"/>
      <c r="E27" s="252"/>
      <c r="F27" s="250">
        <f>SUM(F15:F17,F19,F20,F25)</f>
        <v>14420607.09</v>
      </c>
      <c r="G27" s="250">
        <f>SUM(G15:G17,G25)</f>
        <v>9596090.370000001</v>
      </c>
      <c r="H27" s="250">
        <f t="shared" ref="H27:J27" si="3">SUM(H15:H17,H25)</f>
        <v>0</v>
      </c>
      <c r="I27" s="250">
        <f t="shared" si="3"/>
        <v>0</v>
      </c>
      <c r="J27" s="250">
        <f t="shared" si="3"/>
        <v>920964.26</v>
      </c>
      <c r="K27" s="250">
        <f>SUM(F27:J27)</f>
        <v>24937661.720000003</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27</v>
      </c>
      <c r="D34" s="144" t="s">
        <v>805</v>
      </c>
      <c r="E34" s="144"/>
      <c r="F34" s="127" t="s">
        <v>95</v>
      </c>
      <c r="G34" s="126">
        <v>910512.63</v>
      </c>
      <c r="H34" s="126">
        <v>897534.37</v>
      </c>
      <c r="I34" s="126"/>
      <c r="J34" s="129"/>
      <c r="K34" s="126">
        <v>7363.68</v>
      </c>
      <c r="L34" s="246">
        <f>SUM(G34:K34)</f>
        <v>1815410.68</v>
      </c>
    </row>
    <row r="35" spans="1:12" x14ac:dyDescent="0.25">
      <c r="A35" s="123"/>
      <c r="B35" s="262">
        <v>15</v>
      </c>
      <c r="C35" s="263">
        <f t="shared" si="4"/>
        <v>27</v>
      </c>
      <c r="D35" s="144" t="s">
        <v>806</v>
      </c>
      <c r="E35" s="144"/>
      <c r="F35" s="127" t="s">
        <v>95</v>
      </c>
      <c r="G35" s="126">
        <v>666249.19999999995</v>
      </c>
      <c r="H35" s="126">
        <v>173208.67</v>
      </c>
      <c r="I35" s="126"/>
      <c r="J35" s="129"/>
      <c r="K35" s="126">
        <v>4123.78</v>
      </c>
      <c r="L35" s="246">
        <f t="shared" ref="L35:L98" si="5">SUM(G35:K35)</f>
        <v>843581.65</v>
      </c>
    </row>
    <row r="36" spans="1:12" x14ac:dyDescent="0.25">
      <c r="A36" s="123"/>
      <c r="B36" s="262">
        <v>16</v>
      </c>
      <c r="C36" s="263">
        <f t="shared" si="4"/>
        <v>27</v>
      </c>
      <c r="D36" s="144" t="s">
        <v>807</v>
      </c>
      <c r="E36" s="144"/>
      <c r="F36" s="127" t="s">
        <v>95</v>
      </c>
      <c r="G36" s="126">
        <v>278764.57</v>
      </c>
      <c r="H36" s="126">
        <v>245043.75</v>
      </c>
      <c r="I36" s="126"/>
      <c r="J36" s="129"/>
      <c r="K36" s="126">
        <v>90665.27</v>
      </c>
      <c r="L36" s="246">
        <f t="shared" si="5"/>
        <v>614473.59</v>
      </c>
    </row>
    <row r="37" spans="1:12" x14ac:dyDescent="0.25">
      <c r="A37" s="123"/>
      <c r="B37" s="262">
        <v>17</v>
      </c>
      <c r="C37" s="263">
        <f t="shared" si="4"/>
        <v>27</v>
      </c>
      <c r="D37" s="144" t="s">
        <v>808</v>
      </c>
      <c r="E37" s="144"/>
      <c r="F37" s="127" t="s">
        <v>95</v>
      </c>
      <c r="G37" s="126">
        <v>627585.14</v>
      </c>
      <c r="H37" s="126">
        <v>1095849.8999999999</v>
      </c>
      <c r="I37" s="126"/>
      <c r="J37" s="129"/>
      <c r="K37" s="126">
        <v>88436.54</v>
      </c>
      <c r="L37" s="246">
        <f t="shared" si="5"/>
        <v>1811871.58</v>
      </c>
    </row>
    <row r="38" spans="1:12" x14ac:dyDescent="0.25">
      <c r="A38" s="123"/>
      <c r="B38" s="262">
        <v>18</v>
      </c>
      <c r="C38" s="263">
        <f t="shared" si="4"/>
        <v>27</v>
      </c>
      <c r="D38" s="144" t="s">
        <v>809</v>
      </c>
      <c r="E38" s="144"/>
      <c r="F38" s="127" t="s">
        <v>95</v>
      </c>
      <c r="G38" s="126">
        <v>2984894.28</v>
      </c>
      <c r="H38" s="126">
        <v>1323031.93</v>
      </c>
      <c r="I38" s="126"/>
      <c r="J38" s="129"/>
      <c r="K38" s="126">
        <v>368150.86</v>
      </c>
      <c r="L38" s="246">
        <f t="shared" si="5"/>
        <v>4676077.07</v>
      </c>
    </row>
    <row r="39" spans="1:12" x14ac:dyDescent="0.25">
      <c r="A39" s="123"/>
      <c r="B39" s="262">
        <v>19</v>
      </c>
      <c r="C39" s="263">
        <f t="shared" si="4"/>
        <v>27</v>
      </c>
      <c r="D39" s="144" t="s">
        <v>810</v>
      </c>
      <c r="E39" s="144"/>
      <c r="F39" s="127" t="s">
        <v>95</v>
      </c>
      <c r="G39" s="126">
        <v>1048106.95</v>
      </c>
      <c r="H39" s="126">
        <v>369802.46</v>
      </c>
      <c r="I39" s="126"/>
      <c r="J39" s="129"/>
      <c r="K39" s="126">
        <v>676.85</v>
      </c>
      <c r="L39" s="246">
        <f t="shared" si="5"/>
        <v>1418586.26</v>
      </c>
    </row>
    <row r="40" spans="1:12" x14ac:dyDescent="0.25">
      <c r="A40" s="123"/>
      <c r="B40" s="262">
        <v>20</v>
      </c>
      <c r="C40" s="263">
        <f t="shared" si="4"/>
        <v>27</v>
      </c>
      <c r="D40" s="144" t="s">
        <v>811</v>
      </c>
      <c r="E40" s="144"/>
      <c r="F40" s="127" t="s">
        <v>96</v>
      </c>
      <c r="G40" s="126">
        <v>1381791.99</v>
      </c>
      <c r="H40" s="126">
        <v>3192309.02</v>
      </c>
      <c r="I40" s="126"/>
      <c r="J40" s="129"/>
      <c r="K40" s="126">
        <v>217744.13</v>
      </c>
      <c r="L40" s="246">
        <f t="shared" si="5"/>
        <v>4791845.1399999997</v>
      </c>
    </row>
    <row r="41" spans="1:12" x14ac:dyDescent="0.25">
      <c r="A41" s="123"/>
      <c r="B41" s="262">
        <v>21</v>
      </c>
      <c r="C41" s="263">
        <f t="shared" si="4"/>
        <v>27</v>
      </c>
      <c r="D41" s="144" t="s">
        <v>812</v>
      </c>
      <c r="E41" s="144"/>
      <c r="F41" s="127" t="s">
        <v>96</v>
      </c>
      <c r="G41" s="126">
        <v>2482066.14</v>
      </c>
      <c r="H41" s="126">
        <v>1748056.41</v>
      </c>
      <c r="I41" s="126"/>
      <c r="J41" s="129"/>
      <c r="K41" s="126">
        <v>47172.4</v>
      </c>
      <c r="L41" s="246">
        <f t="shared" si="5"/>
        <v>4277294.95</v>
      </c>
    </row>
    <row r="42" spans="1:12" ht="30.75" x14ac:dyDescent="0.25">
      <c r="A42" s="123"/>
      <c r="B42" s="262">
        <v>22</v>
      </c>
      <c r="C42" s="263">
        <f t="shared" si="4"/>
        <v>27</v>
      </c>
      <c r="D42" s="144" t="s">
        <v>813</v>
      </c>
      <c r="E42" s="144"/>
      <c r="F42" s="127" t="s">
        <v>96</v>
      </c>
      <c r="G42" s="126">
        <v>375370.75</v>
      </c>
      <c r="H42" s="126">
        <v>118360.05</v>
      </c>
      <c r="I42" s="126"/>
      <c r="J42" s="129"/>
      <c r="K42" s="126"/>
      <c r="L42" s="246">
        <f t="shared" si="5"/>
        <v>493730.8</v>
      </c>
    </row>
    <row r="43" spans="1:12" x14ac:dyDescent="0.25">
      <c r="A43" s="123"/>
      <c r="B43" s="262">
        <v>23</v>
      </c>
      <c r="C43" s="263">
        <f t="shared" si="4"/>
        <v>27</v>
      </c>
      <c r="D43" s="144" t="s">
        <v>814</v>
      </c>
      <c r="E43" s="144"/>
      <c r="F43" s="127" t="s">
        <v>96</v>
      </c>
      <c r="G43" s="126">
        <v>291416.37</v>
      </c>
      <c r="H43" s="126">
        <v>208289.88</v>
      </c>
      <c r="I43" s="126"/>
      <c r="J43" s="129"/>
      <c r="K43" s="126">
        <v>96630.75</v>
      </c>
      <c r="L43" s="246">
        <f t="shared" si="5"/>
        <v>596337</v>
      </c>
    </row>
    <row r="44" spans="1:12" x14ac:dyDescent="0.25">
      <c r="A44" s="123"/>
      <c r="B44" s="262">
        <v>24</v>
      </c>
      <c r="C44" s="263">
        <f t="shared" si="4"/>
        <v>27</v>
      </c>
      <c r="D44" s="144" t="s">
        <v>805</v>
      </c>
      <c r="E44" s="144"/>
      <c r="F44" s="127" t="s">
        <v>96</v>
      </c>
      <c r="G44" s="126">
        <v>39337.230000000003</v>
      </c>
      <c r="H44" s="126">
        <v>224603.93</v>
      </c>
      <c r="I44" s="126"/>
      <c r="J44" s="129"/>
      <c r="K44" s="126"/>
      <c r="L44" s="246">
        <f t="shared" si="5"/>
        <v>263941.15999999997</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6"/>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9"/>
  <sheetViews>
    <sheetView showGridLines="0" topLeftCell="A4" zoomScale="80" zoomScaleNormal="80" zoomScaleSheetLayoutView="40" zoomScalePageLayoutView="80" workbookViewId="0">
      <selection activeCell="G28" sqref="G28"/>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2019-2020</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Monterey</v>
      </c>
      <c r="E9" s="27" t="str">
        <f>IF(ISBLANK('1. Information'!D11),"",'1. Information'!D11)</f>
        <v>Monterey</v>
      </c>
      <c r="F9" s="226" t="s">
        <v>1</v>
      </c>
      <c r="G9" s="264">
        <f>IF(ISBLANK('1. Information'!D9),"",'1. Information'!D9)</f>
        <v>44201</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23509.84</v>
      </c>
      <c r="G15" s="136"/>
      <c r="H15" s="136"/>
      <c r="I15" s="136"/>
      <c r="J15" s="136"/>
      <c r="K15" s="241">
        <f>SUM(F15:J15)</f>
        <v>23509.84</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628159.77</v>
      </c>
      <c r="G17" s="136"/>
      <c r="H17" s="136"/>
      <c r="I17" s="136"/>
      <c r="J17" s="136"/>
      <c r="K17" s="241">
        <f t="shared" si="0"/>
        <v>628159.77</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167654.39999999999</v>
      </c>
      <c r="G19" s="244"/>
      <c r="H19" s="244"/>
      <c r="I19" s="244"/>
      <c r="J19" s="244"/>
      <c r="K19" s="241">
        <f t="shared" ref="K19:K20" si="1">F19</f>
        <v>167654.39999999999</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229317.13</v>
      </c>
      <c r="G20" s="244"/>
      <c r="H20" s="244"/>
      <c r="I20" s="244"/>
      <c r="J20" s="244"/>
      <c r="K20" s="241">
        <f t="shared" si="1"/>
        <v>229317.13</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3164535.35</v>
      </c>
      <c r="G21" s="275">
        <f>SUMIF($G$34:$G$133,"Combined Summary",M$34:M$133) + SUMIF($F$34:$F$133,"Standalone",M$34:M$133)</f>
        <v>758250.83</v>
      </c>
      <c r="H21" s="275">
        <f>SUMIF($G$34:$G$133,"Combined Summary",N$34:N$133) + SUMIF($F$34:$F$133,"Standalone",N$34:N$133)</f>
        <v>0</v>
      </c>
      <c r="I21" s="275">
        <f>SUMIF($G$34:$G$133,"Combined Summary",O$34:O$133) + SUMIF($F$34:$F$133,"Standalone",O$34:O$133)</f>
        <v>0</v>
      </c>
      <c r="J21" s="275">
        <f>SUMIF($G$34:$G$133,"Combined Summary",P$34:P$133) + SUMIF($F$34:$F$133,"Standalone",P$34:P$133)</f>
        <v>107337.12000000001</v>
      </c>
      <c r="K21" s="246">
        <f t="shared" si="0"/>
        <v>4030123.3000000003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4045522.09</v>
      </c>
      <c r="G22" s="279">
        <f t="shared" ref="G22:J22" si="2">SUM(G15:G17,G20:G21)</f>
        <v>758250.83</v>
      </c>
      <c r="H22" s="279">
        <f t="shared" si="2"/>
        <v>0</v>
      </c>
      <c r="I22" s="279">
        <f t="shared" si="2"/>
        <v>0</v>
      </c>
      <c r="J22" s="279">
        <f t="shared" si="2"/>
        <v>107337.12000000001</v>
      </c>
      <c r="K22" s="279">
        <f t="shared" si="0"/>
        <v>4911110.04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0.37317905439987353</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27</v>
      </c>
      <c r="D34" s="144" t="s">
        <v>794</v>
      </c>
      <c r="E34" s="144"/>
      <c r="F34" s="147" t="s">
        <v>125</v>
      </c>
      <c r="G34" s="148" t="s">
        <v>121</v>
      </c>
      <c r="H34" s="33"/>
      <c r="I34" s="36">
        <v>1</v>
      </c>
      <c r="J34" s="36">
        <v>0.49</v>
      </c>
      <c r="K34" s="302">
        <f>IF(OR(G34="Combined Summary",F34="Standalone"),(SUMPRODUCT(--(D$34:D$133=D34),I$34:I$133,J$34:J$133)),"")</f>
        <v>0.49</v>
      </c>
      <c r="L34" s="126">
        <v>757849.1</v>
      </c>
      <c r="M34" s="133"/>
      <c r="N34" s="30"/>
      <c r="O34" s="30"/>
      <c r="P34" s="30"/>
      <c r="Q34" s="303">
        <f>SUM(L34:P34)</f>
        <v>757849.1</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27</v>
      </c>
      <c r="D35" s="144" t="s">
        <v>795</v>
      </c>
      <c r="E35" s="144"/>
      <c r="F35" s="147" t="s">
        <v>125</v>
      </c>
      <c r="G35" s="148" t="s">
        <v>121</v>
      </c>
      <c r="H35" s="33"/>
      <c r="I35" s="36">
        <v>1</v>
      </c>
      <c r="J35" s="36">
        <v>0.08</v>
      </c>
      <c r="K35" s="302">
        <f t="shared" ref="K35:K98" si="4">IF(OR(G35="Combined Summary",F35="Standalone"),(SUMPRODUCT(--(D$34:D$133=D35),I$34:I$133,J$34:J$133)),"")</f>
        <v>0.08</v>
      </c>
      <c r="L35" s="126">
        <v>210886.42</v>
      </c>
      <c r="M35" s="133">
        <v>137666.91</v>
      </c>
      <c r="N35" s="30"/>
      <c r="O35" s="30"/>
      <c r="P35" s="30">
        <v>9227.7800000000007</v>
      </c>
      <c r="Q35" s="303">
        <f t="shared" ref="Q35:Q98" si="5">SUM(L35:P35)</f>
        <v>357781.11000000004</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27</v>
      </c>
      <c r="D36" s="144" t="s">
        <v>796</v>
      </c>
      <c r="E36" s="144"/>
      <c r="F36" s="147" t="s">
        <v>125</v>
      </c>
      <c r="G36" s="148" t="s">
        <v>127</v>
      </c>
      <c r="H36" s="33"/>
      <c r="I36" s="36">
        <v>1</v>
      </c>
      <c r="J36" s="36">
        <v>0.38</v>
      </c>
      <c r="K36" s="302">
        <f t="shared" si="4"/>
        <v>0.38</v>
      </c>
      <c r="L36" s="126">
        <v>514830</v>
      </c>
      <c r="M36" s="133"/>
      <c r="N36" s="30"/>
      <c r="O36" s="30"/>
      <c r="P36" s="30"/>
      <c r="Q36" s="303">
        <f t="shared" si="5"/>
        <v>514830</v>
      </c>
      <c r="R36" s="178">
        <f t="shared" si="6"/>
        <v>1</v>
      </c>
      <c r="S36" s="180" t="str">
        <f t="shared" si="7"/>
        <v/>
      </c>
      <c r="AL36" s="27"/>
      <c r="AM36" s="27"/>
      <c r="AN36" s="27"/>
    </row>
    <row r="37" spans="2:40" x14ac:dyDescent="0.25">
      <c r="B37" s="300">
        <v>13</v>
      </c>
      <c r="C37" s="301">
        <f t="shared" si="3"/>
        <v>27</v>
      </c>
      <c r="D37" s="144" t="s">
        <v>797</v>
      </c>
      <c r="E37" s="144"/>
      <c r="F37" s="147" t="s">
        <v>125</v>
      </c>
      <c r="G37" s="148" t="s">
        <v>128</v>
      </c>
      <c r="H37" s="33"/>
      <c r="I37" s="36">
        <v>1</v>
      </c>
      <c r="J37" s="36">
        <v>0.69</v>
      </c>
      <c r="K37" s="302">
        <f t="shared" si="4"/>
        <v>0.69</v>
      </c>
      <c r="L37" s="126">
        <f>142398</f>
        <v>142398</v>
      </c>
      <c r="M37" s="133"/>
      <c r="N37" s="30"/>
      <c r="O37" s="30"/>
      <c r="P37" s="30"/>
      <c r="Q37" s="303">
        <f t="shared" si="5"/>
        <v>142398</v>
      </c>
      <c r="R37" s="178">
        <f t="shared" si="6"/>
        <v>1</v>
      </c>
      <c r="S37" s="180" t="str">
        <f t="shared" si="7"/>
        <v/>
      </c>
      <c r="AL37" s="27"/>
      <c r="AM37" s="27"/>
      <c r="AN37" s="27"/>
    </row>
    <row r="38" spans="2:40" x14ac:dyDescent="0.25">
      <c r="B38" s="300">
        <v>14</v>
      </c>
      <c r="C38" s="301">
        <f t="shared" si="3"/>
        <v>27</v>
      </c>
      <c r="D38" s="144" t="s">
        <v>798</v>
      </c>
      <c r="E38" s="144"/>
      <c r="F38" s="147" t="s">
        <v>125</v>
      </c>
      <c r="G38" s="148" t="s">
        <v>121</v>
      </c>
      <c r="H38" s="33"/>
      <c r="I38" s="36">
        <v>1</v>
      </c>
      <c r="J38" s="36">
        <v>0</v>
      </c>
      <c r="K38" s="302">
        <f t="shared" si="4"/>
        <v>0</v>
      </c>
      <c r="L38" s="126">
        <v>304204</v>
      </c>
      <c r="M38" s="133"/>
      <c r="N38" s="30"/>
      <c r="O38" s="30"/>
      <c r="P38" s="30"/>
      <c r="Q38" s="303">
        <f t="shared" si="5"/>
        <v>304204</v>
      </c>
      <c r="R38" s="178">
        <f t="shared" si="6"/>
        <v>1</v>
      </c>
      <c r="S38" s="180" t="str">
        <f t="shared" si="7"/>
        <v/>
      </c>
      <c r="AL38" s="27"/>
      <c r="AM38" s="27"/>
      <c r="AN38" s="27"/>
    </row>
    <row r="39" spans="2:40" x14ac:dyDescent="0.25">
      <c r="B39" s="300">
        <v>15</v>
      </c>
      <c r="C39" s="301">
        <f t="shared" si="3"/>
        <v>27</v>
      </c>
      <c r="D39" s="144" t="s">
        <v>799</v>
      </c>
      <c r="E39" s="144"/>
      <c r="F39" s="147" t="s">
        <v>125</v>
      </c>
      <c r="G39" s="148" t="s">
        <v>129</v>
      </c>
      <c r="H39" s="33"/>
      <c r="I39" s="36">
        <v>1</v>
      </c>
      <c r="J39" s="36">
        <v>0.83</v>
      </c>
      <c r="K39" s="302">
        <f t="shared" si="4"/>
        <v>0.83</v>
      </c>
      <c r="L39" s="126">
        <v>228859</v>
      </c>
      <c r="M39" s="133"/>
      <c r="N39" s="30"/>
      <c r="O39" s="30"/>
      <c r="P39" s="30"/>
      <c r="Q39" s="303">
        <f t="shared" si="5"/>
        <v>228859</v>
      </c>
      <c r="R39" s="178">
        <f t="shared" si="6"/>
        <v>1</v>
      </c>
      <c r="S39" s="180" t="str">
        <f t="shared" si="7"/>
        <v/>
      </c>
      <c r="AL39" s="27"/>
      <c r="AM39" s="27"/>
      <c r="AN39" s="27"/>
    </row>
    <row r="40" spans="2:40" x14ac:dyDescent="0.25">
      <c r="B40" s="300">
        <v>16</v>
      </c>
      <c r="C40" s="301">
        <f t="shared" si="3"/>
        <v>27</v>
      </c>
      <c r="D40" s="144" t="s">
        <v>800</v>
      </c>
      <c r="E40" s="144"/>
      <c r="F40" s="147" t="s">
        <v>125</v>
      </c>
      <c r="G40" s="148" t="s">
        <v>118</v>
      </c>
      <c r="H40" s="33"/>
      <c r="I40" s="36">
        <v>1</v>
      </c>
      <c r="J40" s="36">
        <v>0.08</v>
      </c>
      <c r="K40" s="302">
        <f t="shared" si="4"/>
        <v>0.08</v>
      </c>
      <c r="L40" s="126">
        <v>298920</v>
      </c>
      <c r="M40" s="133"/>
      <c r="N40" s="30"/>
      <c r="O40" s="30"/>
      <c r="P40" s="30"/>
      <c r="Q40" s="303">
        <f t="shared" si="5"/>
        <v>298920</v>
      </c>
      <c r="R40" s="178">
        <f t="shared" si="6"/>
        <v>1</v>
      </c>
      <c r="S40" s="180" t="str">
        <f t="shared" si="7"/>
        <v/>
      </c>
      <c r="AL40" s="27"/>
      <c r="AM40" s="27"/>
      <c r="AN40" s="27"/>
    </row>
    <row r="41" spans="2:40" x14ac:dyDescent="0.25">
      <c r="B41" s="300">
        <v>17</v>
      </c>
      <c r="C41" s="301">
        <f t="shared" si="3"/>
        <v>27</v>
      </c>
      <c r="D41" s="144" t="s">
        <v>801</v>
      </c>
      <c r="E41" s="144"/>
      <c r="F41" s="147" t="s">
        <v>125</v>
      </c>
      <c r="G41" s="148" t="s">
        <v>122</v>
      </c>
      <c r="H41" s="33"/>
      <c r="I41" s="36">
        <v>1</v>
      </c>
      <c r="J41" s="36">
        <v>0.6</v>
      </c>
      <c r="K41" s="302">
        <f t="shared" si="4"/>
        <v>0.6</v>
      </c>
      <c r="L41" s="126">
        <v>215799.92</v>
      </c>
      <c r="M41" s="133">
        <v>111640.21</v>
      </c>
      <c r="N41" s="30"/>
      <c r="O41" s="30"/>
      <c r="P41" s="30">
        <v>5111.17</v>
      </c>
      <c r="Q41" s="303">
        <f t="shared" si="5"/>
        <v>332551.3</v>
      </c>
      <c r="R41" s="178">
        <f t="shared" si="6"/>
        <v>1</v>
      </c>
      <c r="S41" s="180" t="str">
        <f t="shared" si="7"/>
        <v/>
      </c>
      <c r="AL41" s="27"/>
      <c r="AM41" s="27"/>
      <c r="AN41" s="27"/>
    </row>
    <row r="42" spans="2:40" x14ac:dyDescent="0.25">
      <c r="B42" s="300">
        <v>18</v>
      </c>
      <c r="C42" s="301">
        <f t="shared" si="3"/>
        <v>27</v>
      </c>
      <c r="D42" s="144" t="s">
        <v>802</v>
      </c>
      <c r="E42" s="144"/>
      <c r="F42" s="147" t="s">
        <v>125</v>
      </c>
      <c r="G42" s="148" t="s">
        <v>122</v>
      </c>
      <c r="H42" s="33"/>
      <c r="I42" s="36">
        <v>1</v>
      </c>
      <c r="J42" s="36">
        <v>1</v>
      </c>
      <c r="K42" s="302">
        <f t="shared" si="4"/>
        <v>1</v>
      </c>
      <c r="L42" s="126">
        <v>0</v>
      </c>
      <c r="M42" s="133">
        <v>110301.68</v>
      </c>
      <c r="N42" s="30"/>
      <c r="O42" s="30"/>
      <c r="P42" s="415">
        <v>65258.65</v>
      </c>
      <c r="Q42" s="303">
        <f t="shared" si="5"/>
        <v>175560.33</v>
      </c>
      <c r="R42" s="178">
        <f t="shared" si="6"/>
        <v>1</v>
      </c>
      <c r="S42" s="180" t="str">
        <f t="shared" si="7"/>
        <v/>
      </c>
      <c r="AL42" s="27"/>
      <c r="AM42" s="27"/>
      <c r="AN42" s="27"/>
    </row>
    <row r="43" spans="2:40" x14ac:dyDescent="0.25">
      <c r="B43" s="300">
        <v>19</v>
      </c>
      <c r="C43" s="301">
        <f t="shared" si="3"/>
        <v>27</v>
      </c>
      <c r="D43" s="144" t="s">
        <v>803</v>
      </c>
      <c r="E43" s="144"/>
      <c r="F43" s="147" t="s">
        <v>125</v>
      </c>
      <c r="G43" s="148" t="s">
        <v>122</v>
      </c>
      <c r="H43" s="33"/>
      <c r="I43" s="36">
        <v>1</v>
      </c>
      <c r="J43" s="36">
        <v>0.95</v>
      </c>
      <c r="K43" s="302">
        <f t="shared" si="4"/>
        <v>0.95</v>
      </c>
      <c r="L43" s="126">
        <v>130766.33</v>
      </c>
      <c r="M43" s="133">
        <v>319199.05</v>
      </c>
      <c r="N43" s="30"/>
      <c r="O43" s="30"/>
      <c r="P43" s="30">
        <v>21254.240000000002</v>
      </c>
      <c r="Q43" s="303">
        <f t="shared" si="5"/>
        <v>471219.62</v>
      </c>
      <c r="R43" s="178">
        <f t="shared" si="6"/>
        <v>1</v>
      </c>
      <c r="S43" s="180" t="str">
        <f t="shared" si="7"/>
        <v/>
      </c>
      <c r="AL43" s="27"/>
      <c r="AM43" s="27"/>
      <c r="AN43" s="27"/>
    </row>
    <row r="44" spans="2:40" x14ac:dyDescent="0.25">
      <c r="B44" s="300">
        <v>20</v>
      </c>
      <c r="C44" s="301">
        <f t="shared" si="3"/>
        <v>27</v>
      </c>
      <c r="D44" s="144" t="s">
        <v>804</v>
      </c>
      <c r="E44" s="144"/>
      <c r="F44" s="147" t="s">
        <v>125</v>
      </c>
      <c r="G44" s="148" t="s">
        <v>122</v>
      </c>
      <c r="H44" s="33"/>
      <c r="I44" s="36">
        <v>1</v>
      </c>
      <c r="J44" s="36">
        <v>1</v>
      </c>
      <c r="K44" s="302">
        <f t="shared" si="4"/>
        <v>1</v>
      </c>
      <c r="L44" s="126">
        <v>360022.58</v>
      </c>
      <c r="M44" s="133">
        <v>79442.98</v>
      </c>
      <c r="N44" s="30"/>
      <c r="O44" s="30"/>
      <c r="P44" s="30">
        <v>6485.28</v>
      </c>
      <c r="Q44" s="303">
        <f t="shared" si="5"/>
        <v>445950.84</v>
      </c>
      <c r="R44" s="178">
        <f t="shared" si="6"/>
        <v>1</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4"/>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Medina, April 755-4675</cp:lastModifiedBy>
  <cp:lastPrinted>2019-01-14T22:40:46Z</cp:lastPrinted>
  <dcterms:created xsi:type="dcterms:W3CDTF">2017-07-05T19:48:18Z</dcterms:created>
  <dcterms:modified xsi:type="dcterms:W3CDTF">2021-04-12T19:43:03Z</dcterms:modified>
</cp:coreProperties>
</file>